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Rekapitulace stavby" sheetId="1" r:id="rId1"/>
    <sheet name="01 - Stavební práce" sheetId="2" r:id="rId2"/>
  </sheets>
  <definedNames>
    <definedName name="_xlnm.Print_Titles" localSheetId="1">'01 - Stavební práce'!$110:$110</definedName>
    <definedName name="_xlnm.Print_Titles" localSheetId="0">'Rekapitulace stavby'!$71:$71</definedName>
    <definedName name="_xlnm.Print_Area" localSheetId="1">'01 - Stavební práce'!$C$4:$Q$57,'01 - Stavební práce'!$C$63:$Q$94,'01 - Stavební práce'!$C$100:$Q$181</definedName>
    <definedName name="_xlnm.Print_Area" localSheetId="0">'Rekapitulace stavby'!$C$4:$AP$56,'Rekapitulace stavby'!$C$62:$AP$82</definedName>
  </definedNames>
  <calcPr fullCalcOnLoad="1"/>
</workbook>
</file>

<file path=xl/sharedStrings.xml><?xml version="1.0" encoding="utf-8"?>
<sst xmlns="http://schemas.openxmlformats.org/spreadsheetml/2006/main" count="528" uniqueCount="232">
  <si>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</si>
  <si>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</si>
  <si>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</si>
  <si>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</si>
  <si>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</si>
  <si>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</si>
  <si>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</si>
  <si>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</si>
  <si>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</si>
  <si>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</si>
  <si>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</si>
  <si>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</si>
  <si>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</si>
  <si>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</si>
  <si>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</si>
  <si>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</si>
  <si>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0,1</t>
  </si>
  <si>
    <t>JKSO:</t>
  </si>
  <si>
    <t>CC-CZ:</t>
  </si>
  <si>
    <t>1</t>
  </si>
  <si>
    <t>Místo:</t>
  </si>
  <si>
    <t>Datum:</t>
  </si>
  <si>
    <t>10</t>
  </si>
  <si>
    <t>100</t>
  </si>
  <si>
    <t>Objednavatel:</t>
  </si>
  <si>
    <t>IČ:</t>
  </si>
  <si>
    <t>DIČ:</t>
  </si>
  <si>
    <t>Zhotovitel: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</si>
  <si>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</si>
  <si>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</si>
  <si>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</si>
  <si>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</si>
  <si>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</si>
  <si>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</si>
  <si>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</si>
  <si>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</si>
  <si>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</si>
  <si>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</si>
  <si>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</si>
  <si>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</si>
  <si>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</si>
  <si>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</si>
  <si>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</si>
  <si>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</si>
  <si>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</si>
  <si>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</si>
  <si>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</si>
  <si>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</si>
  <si>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</si>
  <si>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</si>
  <si>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</si>
  <si>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</si>
  <si>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</si>
  <si>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</si>
  <si>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</si>
  <si>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</si>
  <si>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</si>
  <si>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</si>
  <si>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</si>
  <si>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</si>
  <si>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</si>
  <si>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</si>
  <si>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</si>
  <si>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</si>
  <si>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</si>
  <si>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</si>
  <si>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</si>
  <si>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</si>
  <si>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</si>
  <si>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</si>
  <si>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{7E4BC333-BBF9-4485-98AD-16C53BAEC242}</t>
  </si>
  <si>
    <t>{00000000-0000-0000-0000-000000000000}</t>
  </si>
  <si>
    <t>01</t>
  </si>
  <si>
    <t>Stavební práce</t>
  </si>
  <si>
    <t>{22CBC0DE-DF1F-462D-B04F-323207787D6E}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</si>
  <si>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</si>
  <si>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</si>
  <si>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</si>
  <si>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</si>
  <si>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</si>
  <si>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</si>
  <si>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</si>
  <si>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</si>
  <si>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</si>
  <si>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</si>
  <si>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</si>
  <si>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</si>
  <si>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01 - Stavební práce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</si>
  <si>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</si>
  <si>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</si>
  <si>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</si>
  <si>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</si>
  <si>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</si>
  <si>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</si>
  <si>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</si>
  <si>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</si>
  <si>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</si>
  <si>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9 - Ostatní konstrukce a práce, bourání</t>
  </si>
  <si>
    <t>VP -   Vícepráce</t>
  </si>
  <si>
    <t>2) Ostatní náklady</t>
  </si>
  <si>
    <t>VRN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</si>
  <si>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</si>
  <si>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</si>
  <si>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</si>
  <si>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</si>
  <si>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</si>
  <si>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</si>
  <si>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</si>
  <si>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</si>
  <si>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</si>
  <si>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</si>
  <si>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</si>
  <si>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</si>
  <si>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</si>
  <si>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</si>
  <si>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</si>
  <si>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</si>
  <si>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</si>
  <si>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</si>
  <si>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m3</t>
  </si>
  <si>
    <t>4</t>
  </si>
  <si>
    <t>VV</t>
  </si>
  <si>
    <t>m2</t>
  </si>
  <si>
    <t>162701105</t>
  </si>
  <si>
    <t>Vodorovné přemístění do 10000 m výkopku/sypaniny z horniny tř. 1 až 4</t>
  </si>
  <si>
    <t>-1069980546</t>
  </si>
  <si>
    <t>162701109</t>
  </si>
  <si>
    <t>Příplatek k vodorovnému přemístění výkopku/sypaniny z horniny tř. 1 až 4 ZKD 1000 m přes 10000 m</t>
  </si>
  <si>
    <t>333357492</t>
  </si>
  <si>
    <t>171201201</t>
  </si>
  <si>
    <t>Uložení sypaniny na skládky</t>
  </si>
  <si>
    <t>-1861592224</t>
  </si>
  <si>
    <t>171201211</t>
  </si>
  <si>
    <t>Poplatek za uložení odpadu ze sypaniny na skládce (skládkovné)</t>
  </si>
  <si>
    <t>t</t>
  </si>
  <si>
    <t>-1007477209</t>
  </si>
  <si>
    <t>-732893470</t>
  </si>
  <si>
    <t>P</t>
  </si>
  <si>
    <t>99901</t>
  </si>
  <si>
    <t>soub.</t>
  </si>
  <si>
    <t>985884450</t>
  </si>
  <si>
    <t>Dle nabídky</t>
  </si>
  <si>
    <t>99902</t>
  </si>
  <si>
    <t>Dopravné</t>
  </si>
  <si>
    <t>1737935774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</si>
  <si>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</si>
  <si>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</si>
  <si>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</si>
  <si>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</si>
  <si>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</si>
  <si>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</si>
  <si>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</si>
  <si>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</si>
  <si>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133202011</t>
  </si>
  <si>
    <t>Hloubení šachet ručním nebo pneum nářadím v soudržných horninách tř.3, plocha výkopu do 4m2</t>
  </si>
  <si>
    <t>Příplatek za lepivost u hloubení šachet ručním nebo pneum nářadím v horninách tř. 3</t>
  </si>
  <si>
    <t>133202019</t>
  </si>
  <si>
    <t>275313511</t>
  </si>
  <si>
    <t>Workoutové prvky - montáž</t>
  </si>
  <si>
    <t xml:space="preserve">    56 - Podkladní vrstvy komunikací a zpevněných ploch</t>
  </si>
  <si>
    <t>PC</t>
  </si>
  <si>
    <t xml:space="preserve">    10 - Umělé povrchy</t>
  </si>
  <si>
    <t>Zkoušky a revize</t>
  </si>
  <si>
    <t>Náklady zhotovitele, související s prováděním zkoušek a revizí předepsaných technickými normami nebo objednatelem a které jsou pro provedení díla nezbytné.</t>
  </si>
  <si>
    <t>Užívání veřejných ploch a prostranství</t>
  </si>
  <si>
    <t>Náklady a poplatky spojené s užíváním veřejných ploch a prostranství, pokud jsou stavebními pracemi nebo souvisejícími činnostmi dotčeny, a to včetně užívání ploch v souvislosti s uložením stavebního materiálu nebo stavebního odpadu.</t>
  </si>
  <si>
    <t>Fotodokumentace stavby</t>
  </si>
  <si>
    <t>Fotodokumentace stavby před zahájením stavby, v průběhu výstavby a po stavbě. Zařazení fotek do fotoalba v časové posloupnosti a popisem činnosti a číslem objektů v digitální podobě.</t>
  </si>
  <si>
    <t>Předání a převzetí díla</t>
  </si>
  <si>
    <t>Náklady zhotovitele, které vzniknou v souvislosti s povinnostmi zhotovitele při předání a převzetí díla.</t>
  </si>
  <si>
    <t>Základové patky z betonu tř. C20/25</t>
  </si>
  <si>
    <t>Odstranění a vyrovnání terénních nerovností</t>
  </si>
  <si>
    <t>99905</t>
  </si>
  <si>
    <t>dle dodávky</t>
  </si>
  <si>
    <t>121101101</t>
  </si>
  <si>
    <t>Sejmutí ornice s přemístěním na vzdálenost do 50 m</t>
  </si>
  <si>
    <t>122201101</t>
  </si>
  <si>
    <t>Odkopávky a prokopávky nezapažené v hornině tř. 3 objem do 100 m3</t>
  </si>
  <si>
    <t>181101102</t>
  </si>
  <si>
    <t>Úprava pláně v zářezech v hornině 1-4, se zhutněním</t>
  </si>
  <si>
    <t>181411131</t>
  </si>
  <si>
    <t xml:space="preserve">Založení parkového trávníku výsevem plochy do 1000 m2 v rovině a ve svahu do 1:5 </t>
  </si>
  <si>
    <t>M</t>
  </si>
  <si>
    <t>005724100</t>
  </si>
  <si>
    <t>osivo směs trávní parková</t>
  </si>
  <si>
    <t>kg</t>
  </si>
  <si>
    <t>275351215</t>
  </si>
  <si>
    <t>275351216</t>
  </si>
  <si>
    <t>Odstranění bednění stěn základových patek</t>
  </si>
  <si>
    <t>Zřízení bednění stěn základových patek</t>
  </si>
  <si>
    <t>564851121</t>
  </si>
  <si>
    <t>Podklad z kameniva drceného vel.0-8 mm, tloušťka vrstvy 100mm</t>
  </si>
  <si>
    <t>Nerezové workoutové prvky - dodávka dle technické zprávy</t>
  </si>
  <si>
    <t>Ocelové workoutové prvky - dodávka dle technické zprávy</t>
  </si>
  <si>
    <t>Dřevěné workoutové prvky - dodávka dle technické zprávy</t>
  </si>
  <si>
    <t>99903</t>
  </si>
  <si>
    <t>451971111R00</t>
  </si>
  <si>
    <t>Položení vrstvy z geotextílie, uchycení spony, hřeby</t>
  </si>
  <si>
    <t>693662001</t>
  </si>
  <si>
    <t>Geotextílie 150g/m2 š. 200cm PES</t>
  </si>
  <si>
    <t>916131213</t>
  </si>
  <si>
    <t>Osazení silničního obrubníku betonového stojatého s boční opěrou do lože z betonu prostého</t>
  </si>
  <si>
    <t>m</t>
  </si>
  <si>
    <t>5921741</t>
  </si>
  <si>
    <t>kus</t>
  </si>
  <si>
    <t>obrubník zahradní 100x5x25 cm</t>
  </si>
  <si>
    <t>Workoutové hřiště, Ostrava - Svinov</t>
  </si>
  <si>
    <t>Kladení pryžových desek tloušťky 70mm, certifikováno pro kritickou výšku pádu 2,2m, barva červená</t>
  </si>
  <si>
    <t>Kladení pryžových desek tloušťky 45mm, certifikováno pro kritickou výšku pádu 1,5m, barva červená</t>
  </si>
  <si>
    <t>13,93*6,13*0,1</t>
  </si>
  <si>
    <t>13,93*6,13*0,2</t>
  </si>
  <si>
    <t>21*0,4*0,4*0,6+1,15*0,4*0,6+0,8*0,4*0,6+0,8*0,8*0,25+0,4*0,4*0,35</t>
  </si>
  <si>
    <t>((8,539+17,078+2,7)/100)*50</t>
  </si>
  <si>
    <t>8,539+17,078+2,7</t>
  </si>
  <si>
    <t>28,317*2</t>
  </si>
  <si>
    <t>13,93*6,13</t>
  </si>
  <si>
    <t>(13,93+6,13)*0,8</t>
  </si>
  <si>
    <t>16,048*0,035</t>
  </si>
  <si>
    <t>(0,4+0,4)*2*0,25*21+(1,15+0,4)*2*0,25+(0,8+0,4)*2*0,25+(0,8+0,8)*2*0,25</t>
  </si>
  <si>
    <t>13,83*6,03</t>
  </si>
  <si>
    <t>Podklad z kameniva drceného vel. 8-32 mm, včetně zhutnění, tloušťka vrstvy 150 mm</t>
  </si>
  <si>
    <t xml:space="preserve">1x polohovatelná lavice, 1x stupňovaná lavice L, 1x lavice </t>
  </si>
  <si>
    <t>(13,93+6,13)*2</t>
  </si>
  <si>
    <t>Městský mobiliář - dodávka a montáž včetně betonáže</t>
  </si>
  <si>
    <t>1x stojan na kola</t>
  </si>
  <si>
    <t>5x hrazda, 1x kolíky na vlajku, 1x pomocná hrazda, 1x svislé žebřiny, 1x Monkey Bar 3m, 1x negativní hrazda 1x poledance tyč,  1x dvojitá bradla, 1x stalky</t>
  </si>
  <si>
    <t xml:space="preserve">1x informační tabule vč. návodů </t>
  </si>
  <si>
    <t>Zařízení staveniště a jeho ochrana</t>
  </si>
  <si>
    <t>Náklady spojené s provozem staveniště, které vzniknou dodavateli podle podmínek smlouvy. V případě nutnosti zajištění fyzické ostrahy staveniště po dobu 24 hodin, instalace oplocení a brány po celou dobu realizace stavby.</t>
  </si>
  <si>
    <t>Bourání obrubových základů železobetonových a zdiva železobetonového nadzákladového, včetně nakládání a likvidace odpadu</t>
  </si>
  <si>
    <t>obrubník zahradní 100x5x50 cm</t>
  </si>
  <si>
    <t>Přípravné práce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</si>
</sst>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%;\-0.00%"/>
    <numFmt numFmtId="167" formatCode="dd\.mm\.yyyy"/>
    <numFmt numFmtId="168" formatCode="#,##0.00000;\-#,##0.00000"/>
    <numFmt numFmtId="169" formatCode="#,##0.000;\-#,##0.000"/>
    <numFmt numFmtId="170" formatCode="#,##0.00_ ;\-#,##0.00\ "/>
    <numFmt numFmtId="171" formatCode="#,##0.00\ _K_č"/>
    <numFmt numFmtId="172" formatCode="#,##0.00000"/>
    <numFmt numFmtId="173" formatCode="#,##0.00_\_K_č"/>
    <numFmt numFmtId="174" formatCode="#,##0.000_ ;\-#,##0.000\ "/>
  </numFmts>
  <fonts count="86">
    <font>
      <sz val="8"/>
      <name val="Trebuchet MS"/>
      <family val="2"/>
    </font>
    <font>
      <sz val="8"/>
      <color indexed="43"/>
      <name val="Trebuchet MS"/>
      <family val="0"/>
    </font>
    <font>
      <sz val="10"/>
      <color indexed="16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8"/>
      <color indexed="55"/>
      <name val="Trebuchet MS"/>
      <family val="2"/>
    </font>
    <font>
      <b/>
      <sz val="12"/>
      <name val="Trebuchet MS"/>
      <family val="2"/>
    </font>
    <font>
      <sz val="10"/>
      <color indexed="63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10"/>
      <color indexed="56"/>
      <name val="Trebuchet MS"/>
      <family val="2"/>
    </font>
    <font>
      <sz val="12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63"/>
      <name val="Trebuchet MS"/>
      <family val="2"/>
    </font>
    <font>
      <i/>
      <sz val="7"/>
      <color indexed="55"/>
      <name val="Trebuchet MS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rebuchet MS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Trebuchet MS"/>
      <family val="2"/>
    </font>
    <font>
      <sz val="8"/>
      <color indexed="10"/>
      <name val="Trebuchet MS"/>
      <family val="2"/>
    </font>
    <font>
      <sz val="7"/>
      <color indexed="8"/>
      <name val="Trebuchet MS"/>
      <family val="2"/>
    </font>
    <font>
      <sz val="8"/>
      <color indexed="8"/>
      <name val="Arial CE"/>
      <family val="2"/>
    </font>
    <font>
      <i/>
      <sz val="7"/>
      <color indexed="8"/>
      <name val="Trebuchet MS"/>
      <family val="2"/>
    </font>
    <font>
      <sz val="12"/>
      <color indexed="8"/>
      <name val="Trebuchet MS"/>
      <family val="2"/>
    </font>
    <font>
      <sz val="10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rebuchet MS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Trebuchet MS"/>
      <family val="2"/>
    </font>
    <font>
      <sz val="8"/>
      <color rgb="FFFF0000"/>
      <name val="Trebuchet MS"/>
      <family val="2"/>
    </font>
    <font>
      <sz val="12"/>
      <color theme="1"/>
      <name val="Trebuchet MS"/>
      <family val="2"/>
    </font>
    <font>
      <sz val="10"/>
      <color theme="1"/>
      <name val="Trebuchet MS"/>
      <family val="2"/>
    </font>
    <font>
      <sz val="7"/>
      <color theme="1"/>
      <name val="Trebuchet MS"/>
      <family val="2"/>
    </font>
    <font>
      <sz val="8"/>
      <color theme="1"/>
      <name val="Arial CE"/>
      <family val="2"/>
    </font>
    <font>
      <i/>
      <sz val="7"/>
      <color theme="1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theme="0" tint="-0.4999699890613556"/>
      </top>
      <bottom style="hair">
        <color theme="0" tint="-0.4999699890613556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theme="0" tint="-0.4999699890613556"/>
      </left>
      <right>
        <color indexed="63"/>
      </right>
      <top style="hair">
        <color theme="0" tint="-0.4999699890613556"/>
      </top>
      <bottom style="hair">
        <color theme="0" tint="-0.4999699890613556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9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7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28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66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5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7" fontId="7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39" fontId="17" fillId="0" borderId="22" xfId="0" applyNumberFormat="1" applyFont="1" applyBorder="1" applyAlignment="1">
      <alignment horizontal="right" vertical="center"/>
    </xf>
    <xf numFmtId="39" fontId="17" fillId="0" borderId="0" xfId="0" applyNumberFormat="1" applyFont="1" applyAlignment="1">
      <alignment horizontal="right" vertical="center"/>
    </xf>
    <xf numFmtId="168" fontId="17" fillId="0" borderId="0" xfId="0" applyNumberFormat="1" applyFont="1" applyAlignment="1">
      <alignment horizontal="right" vertical="center"/>
    </xf>
    <xf numFmtId="39" fontId="17" fillId="0" borderId="23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39" fontId="23" fillId="0" borderId="24" xfId="0" applyNumberFormat="1" applyFont="1" applyBorder="1" applyAlignment="1">
      <alignment horizontal="right" vertical="center"/>
    </xf>
    <xf numFmtId="39" fontId="23" fillId="0" borderId="25" xfId="0" applyNumberFormat="1" applyFont="1" applyBorder="1" applyAlignment="1">
      <alignment horizontal="right" vertical="center"/>
    </xf>
    <xf numFmtId="168" fontId="23" fillId="0" borderId="25" xfId="0" applyNumberFormat="1" applyFont="1" applyBorder="1" applyAlignment="1">
      <alignment horizontal="right" vertical="center"/>
    </xf>
    <xf numFmtId="39" fontId="23" fillId="0" borderId="26" xfId="0" applyNumberFormat="1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166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39" fontId="15" fillId="0" borderId="21" xfId="0" applyNumberFormat="1" applyFont="1" applyBorder="1" applyAlignment="1">
      <alignment horizontal="right" vertical="center"/>
    </xf>
    <xf numFmtId="39" fontId="0" fillId="0" borderId="0" xfId="0" applyNumberFormat="1" applyFont="1" applyAlignment="1">
      <alignment horizontal="right" vertical="center"/>
    </xf>
    <xf numFmtId="166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39" fontId="15" fillId="0" borderId="23" xfId="0" applyNumberFormat="1" applyFont="1" applyBorder="1" applyAlignment="1">
      <alignment horizontal="right" vertical="center"/>
    </xf>
    <xf numFmtId="166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39" fontId="15" fillId="0" borderId="26" xfId="0" applyNumberFormat="1" applyFont="1" applyBorder="1" applyAlignment="1">
      <alignment horizontal="right" vertical="center"/>
    </xf>
    <xf numFmtId="0" fontId="18" fillId="35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15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15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0" fontId="7" fillId="35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8" fontId="27" fillId="0" borderId="20" xfId="0" applyNumberFormat="1" applyFont="1" applyBorder="1" applyAlignment="1">
      <alignment horizontal="right"/>
    </xf>
    <xf numFmtId="168" fontId="27" fillId="0" borderId="21" xfId="0" applyNumberFormat="1" applyFont="1" applyBorder="1" applyAlignment="1">
      <alignment horizontal="right"/>
    </xf>
    <xf numFmtId="39" fontId="28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168" fontId="26" fillId="0" borderId="0" xfId="0" applyNumberFormat="1" applyFont="1" applyAlignment="1">
      <alignment horizontal="right"/>
    </xf>
    <xf numFmtId="168" fontId="26" fillId="0" borderId="23" xfId="0" applyNumberFormat="1" applyFont="1" applyBorder="1" applyAlignment="1">
      <alignment horizontal="right"/>
    </xf>
    <xf numFmtId="39" fontId="26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9" fontId="0" fillId="0" borderId="33" xfId="0" applyNumberFormat="1" applyFont="1" applyBorder="1" applyAlignment="1">
      <alignment horizontal="right" vertical="center"/>
    </xf>
    <xf numFmtId="0" fontId="13" fillId="34" borderId="33" xfId="0" applyFont="1" applyFill="1" applyBorder="1" applyAlignment="1">
      <alignment horizontal="left" vertical="center"/>
    </xf>
    <xf numFmtId="168" fontId="13" fillId="0" borderId="0" xfId="0" applyNumberFormat="1" applyFont="1" applyAlignment="1">
      <alignment horizontal="right" vertical="center"/>
    </xf>
    <xf numFmtId="168" fontId="13" fillId="0" borderId="23" xfId="0" applyNumberFormat="1" applyFont="1" applyBorder="1" applyAlignment="1">
      <alignment horizontal="righ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69" fontId="29" fillId="0" borderId="0" xfId="0" applyNumberFormat="1" applyFont="1" applyAlignment="1">
      <alignment horizontal="right" vertical="center"/>
    </xf>
    <xf numFmtId="0" fontId="29" fillId="0" borderId="14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0" fillId="34" borderId="33" xfId="0" applyFont="1" applyFill="1" applyBorder="1" applyAlignment="1">
      <alignment horizontal="center" vertical="center"/>
    </xf>
    <xf numFmtId="49" fontId="0" fillId="34" borderId="33" xfId="0" applyNumberFormat="1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center" vertical="center" wrapText="1"/>
    </xf>
    <xf numFmtId="169" fontId="0" fillId="34" borderId="33" xfId="0" applyNumberFormat="1" applyFont="1" applyFill="1" applyBorder="1" applyAlignment="1">
      <alignment horizontal="right" vertical="center"/>
    </xf>
    <xf numFmtId="0" fontId="13" fillId="34" borderId="33" xfId="0" applyFont="1" applyFill="1" applyBorder="1" applyAlignment="1">
      <alignment horizontal="center" vertical="center"/>
    </xf>
    <xf numFmtId="0" fontId="31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32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169" fontId="0" fillId="0" borderId="0" xfId="0" applyNumberFormat="1" applyFont="1" applyBorder="1" applyAlignment="1">
      <alignment horizontal="right" vertical="center"/>
    </xf>
    <xf numFmtId="39" fontId="0" fillId="0" borderId="0" xfId="0" applyNumberFormat="1" applyFont="1" applyBorder="1" applyAlignment="1">
      <alignment horizontal="right" vertical="center"/>
    </xf>
    <xf numFmtId="39" fontId="0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49" fontId="0" fillId="0" borderId="33" xfId="0" applyNumberFormat="1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39" fontId="24" fillId="36" borderId="36" xfId="0" applyNumberFormat="1" applyFont="1" applyFill="1" applyBorder="1" applyAlignment="1">
      <alignment horizontal="left" vertical="center"/>
    </xf>
    <xf numFmtId="0" fontId="0" fillId="36" borderId="36" xfId="0" applyFont="1" applyFill="1" applyBorder="1" applyAlignment="1">
      <alignment horizontal="left" vertical="center"/>
    </xf>
    <xf numFmtId="0" fontId="79" fillId="0" borderId="33" xfId="0" applyFont="1" applyBorder="1" applyAlignment="1">
      <alignment horizontal="center" vertical="center"/>
    </xf>
    <xf numFmtId="49" fontId="79" fillId="0" borderId="33" xfId="0" applyNumberFormat="1" applyFont="1" applyBorder="1" applyAlignment="1">
      <alignment horizontal="left" vertical="center" wrapText="1"/>
    </xf>
    <xf numFmtId="0" fontId="79" fillId="0" borderId="33" xfId="0" applyFont="1" applyBorder="1" applyAlignment="1">
      <alignment horizontal="center" vertical="center" wrapText="1"/>
    </xf>
    <xf numFmtId="169" fontId="79" fillId="0" borderId="33" xfId="0" applyNumberFormat="1" applyFont="1" applyBorder="1" applyAlignment="1">
      <alignment horizontal="right" vertical="center"/>
    </xf>
    <xf numFmtId="0" fontId="79" fillId="0" borderId="0" xfId="0" applyFont="1" applyAlignment="1">
      <alignment horizontal="left" vertical="center"/>
    </xf>
    <xf numFmtId="0" fontId="0" fillId="0" borderId="33" xfId="0" applyFont="1" applyBorder="1" applyAlignment="1">
      <alignment horizontal="center" vertical="center"/>
    </xf>
    <xf numFmtId="169" fontId="0" fillId="0" borderId="33" xfId="0" applyNumberFormat="1" applyFont="1" applyBorder="1" applyAlignment="1">
      <alignment horizontal="right" vertical="center"/>
    </xf>
    <xf numFmtId="0" fontId="79" fillId="0" borderId="0" xfId="0" applyFont="1" applyAlignment="1">
      <alignment horizontal="left" vertical="center"/>
    </xf>
    <xf numFmtId="170" fontId="0" fillId="0" borderId="0" xfId="0" applyNumberFormat="1" applyFont="1" applyAlignment="1">
      <alignment horizontal="left" vertical="center"/>
    </xf>
    <xf numFmtId="0" fontId="79" fillId="0" borderId="0" xfId="0" applyFont="1" applyAlignment="1">
      <alignment horizontal="left" vertical="center"/>
    </xf>
    <xf numFmtId="0" fontId="80" fillId="0" borderId="0" xfId="0" applyFont="1" applyAlignment="1">
      <alignment horizontal="left" vertical="center"/>
    </xf>
    <xf numFmtId="0" fontId="79" fillId="0" borderId="0" xfId="0" applyFont="1" applyAlignment="1">
      <alignment horizontal="left" vertical="center"/>
    </xf>
    <xf numFmtId="0" fontId="79" fillId="0" borderId="0" xfId="0" applyFont="1" applyAlignment="1">
      <alignment horizontal="left" vertical="center"/>
    </xf>
    <xf numFmtId="49" fontId="0" fillId="0" borderId="33" xfId="0" applyNumberFormat="1" applyFont="1" applyFill="1" applyBorder="1" applyAlignment="1">
      <alignment horizontal="left" vertical="center" wrapText="1"/>
    </xf>
    <xf numFmtId="169" fontId="0" fillId="0" borderId="33" xfId="0" applyNumberFormat="1" applyFont="1" applyFill="1" applyBorder="1" applyAlignment="1">
      <alignment horizontal="right" vertical="center"/>
    </xf>
    <xf numFmtId="0" fontId="81" fillId="0" borderId="0" xfId="0" applyFont="1" applyAlignment="1">
      <alignment horizontal="left"/>
    </xf>
    <xf numFmtId="0" fontId="79" fillId="0" borderId="0" xfId="0" applyFont="1" applyAlignment="1">
      <alignment horizontal="left"/>
    </xf>
    <xf numFmtId="0" fontId="82" fillId="0" borderId="0" xfId="0" applyFont="1" applyAlignment="1">
      <alignment horizontal="left"/>
    </xf>
    <xf numFmtId="0" fontId="79" fillId="0" borderId="33" xfId="0" applyFont="1" applyBorder="1" applyAlignment="1">
      <alignment horizontal="center" vertical="center"/>
    </xf>
    <xf numFmtId="49" fontId="79" fillId="0" borderId="33" xfId="0" applyNumberFormat="1" applyFont="1" applyBorder="1" applyAlignment="1">
      <alignment horizontal="left" vertical="center" wrapText="1"/>
    </xf>
    <xf numFmtId="0" fontId="79" fillId="0" borderId="33" xfId="0" applyFont="1" applyBorder="1" applyAlignment="1">
      <alignment horizontal="center" vertical="center" wrapText="1"/>
    </xf>
    <xf numFmtId="169" fontId="79" fillId="0" borderId="33" xfId="0" applyNumberFormat="1" applyFont="1" applyBorder="1" applyAlignment="1">
      <alignment horizontal="right" vertical="center"/>
    </xf>
    <xf numFmtId="169" fontId="79" fillId="0" borderId="0" xfId="0" applyNumberFormat="1" applyFont="1" applyAlignment="1">
      <alignment horizontal="right" vertical="center"/>
    </xf>
    <xf numFmtId="49" fontId="7" fillId="0" borderId="0" xfId="0" applyNumberFormat="1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39" fontId="11" fillId="0" borderId="0" xfId="0" applyNumberFormat="1" applyFont="1" applyAlignment="1">
      <alignment horizontal="right" vertical="center"/>
    </xf>
    <xf numFmtId="39" fontId="12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6" fontId="13" fillId="0" borderId="0" xfId="0" applyNumberFormat="1" applyFont="1" applyAlignment="1">
      <alignment horizontal="right" vertical="center"/>
    </xf>
    <xf numFmtId="39" fontId="8" fillId="0" borderId="0" xfId="0" applyNumberFormat="1" applyFont="1" applyAlignment="1">
      <alignment horizontal="right" vertical="center"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0" fillId="35" borderId="37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39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9" fillId="35" borderId="18" xfId="0" applyFont="1" applyFill="1" applyBorder="1" applyAlignment="1">
      <alignment horizontal="left" vertical="center"/>
    </xf>
    <xf numFmtId="39" fontId="9" fillId="35" borderId="18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0" fontId="24" fillId="34" borderId="0" xfId="0" applyFont="1" applyFill="1" applyAlignment="1">
      <alignment horizontal="left" vertical="center"/>
    </xf>
    <xf numFmtId="39" fontId="24" fillId="34" borderId="0" xfId="0" applyNumberFormat="1" applyFont="1" applyFill="1" applyAlignment="1">
      <alignment horizontal="right" vertical="center"/>
    </xf>
    <xf numFmtId="39" fontId="24" fillId="0" borderId="0" xfId="0" applyNumberFormat="1" applyFont="1" applyAlignment="1">
      <alignment horizontal="right" vertical="center"/>
    </xf>
    <xf numFmtId="39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39" fontId="18" fillId="35" borderId="0" xfId="0" applyNumberFormat="1" applyFont="1" applyFill="1" applyAlignment="1">
      <alignment horizontal="right" vertical="center"/>
    </xf>
    <xf numFmtId="0" fontId="0" fillId="35" borderId="0" xfId="0" applyFill="1" applyAlignment="1">
      <alignment horizontal="left" vertical="center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39" fontId="79" fillId="34" borderId="33" xfId="0" applyNumberFormat="1" applyFont="1" applyFill="1" applyBorder="1" applyAlignment="1">
      <alignment horizontal="right" vertical="center"/>
    </xf>
    <xf numFmtId="0" fontId="79" fillId="0" borderId="33" xfId="0" applyFont="1" applyBorder="1" applyAlignment="1">
      <alignment horizontal="left" vertical="center"/>
    </xf>
    <xf numFmtId="39" fontId="79" fillId="0" borderId="33" xfId="0" applyNumberFormat="1" applyFont="1" applyBorder="1" applyAlignment="1">
      <alignment horizontal="right" vertical="center"/>
    </xf>
    <xf numFmtId="0" fontId="83" fillId="0" borderId="0" xfId="0" applyFont="1" applyAlignment="1">
      <alignment horizontal="left" vertical="top" wrapText="1"/>
    </xf>
    <xf numFmtId="0" fontId="79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79" fillId="0" borderId="33" xfId="0" applyFont="1" applyBorder="1" applyAlignment="1">
      <alignment horizontal="left" vertical="center" wrapText="1"/>
    </xf>
    <xf numFmtId="0" fontId="79" fillId="0" borderId="33" xfId="0" applyFont="1" applyBorder="1" applyAlignment="1">
      <alignment horizontal="left" vertical="center"/>
    </xf>
    <xf numFmtId="39" fontId="79" fillId="34" borderId="33" xfId="0" applyNumberFormat="1" applyFont="1" applyFill="1" applyBorder="1" applyAlignment="1">
      <alignment horizontal="right" vertical="center"/>
    </xf>
    <xf numFmtId="39" fontId="79" fillId="0" borderId="33" xfId="0" applyNumberFormat="1" applyFont="1" applyBorder="1" applyAlignment="1">
      <alignment horizontal="right" vertical="center"/>
    </xf>
    <xf numFmtId="0" fontId="79" fillId="0" borderId="0" xfId="0" applyFont="1" applyAlignment="1">
      <alignment horizontal="left" vertical="center" wrapText="1"/>
    </xf>
    <xf numFmtId="0" fontId="79" fillId="0" borderId="33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39" fontId="0" fillId="34" borderId="33" xfId="0" applyNumberFormat="1" applyFont="1" applyFill="1" applyBorder="1" applyAlignment="1">
      <alignment horizontal="right" vertical="center"/>
    </xf>
    <xf numFmtId="39" fontId="0" fillId="0" borderId="33" xfId="0" applyNumberFormat="1" applyFont="1" applyBorder="1" applyAlignment="1">
      <alignment horizontal="right" vertical="center"/>
    </xf>
    <xf numFmtId="0" fontId="29" fillId="0" borderId="31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/>
    </xf>
    <xf numFmtId="39" fontId="13" fillId="0" borderId="0" xfId="0" applyNumberFormat="1" applyFont="1" applyAlignment="1">
      <alignment horizontal="right" vertical="center"/>
    </xf>
    <xf numFmtId="0" fontId="7" fillId="35" borderId="0" xfId="0" applyFont="1" applyFill="1" applyAlignment="1">
      <alignment horizontal="center" vertical="center"/>
    </xf>
    <xf numFmtId="39" fontId="12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167" fontId="7" fillId="34" borderId="0" xfId="0" applyNumberFormat="1" applyFont="1" applyFill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0" fontId="7" fillId="34" borderId="0" xfId="0" applyFont="1" applyFill="1" applyAlignment="1">
      <alignment horizontal="left" vertical="center"/>
    </xf>
    <xf numFmtId="167" fontId="7" fillId="0" borderId="0" xfId="0" applyNumberFormat="1" applyFont="1" applyAlignment="1">
      <alignment horizontal="left" vertical="top"/>
    </xf>
    <xf numFmtId="39" fontId="25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39" fontId="24" fillId="36" borderId="38" xfId="0" applyNumberFormat="1" applyFont="1" applyFill="1" applyBorder="1" applyAlignment="1">
      <alignment horizontal="left" vertical="center"/>
    </xf>
    <xf numFmtId="0" fontId="0" fillId="36" borderId="36" xfId="0" applyFont="1" applyFill="1" applyBorder="1" applyAlignment="1">
      <alignment horizontal="left" vertical="center"/>
    </xf>
    <xf numFmtId="39" fontId="25" fillId="0" borderId="0" xfId="0" applyNumberFormat="1" applyFont="1" applyAlignment="1">
      <alignment horizontal="right"/>
    </xf>
    <xf numFmtId="39" fontId="24" fillId="34" borderId="39" xfId="0" applyNumberFormat="1" applyFont="1" applyFill="1" applyBorder="1" applyAlignment="1">
      <alignment horizontal="righ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84" fillId="0" borderId="0" xfId="47" applyNumberFormat="1" applyFont="1" applyBorder="1" applyAlignment="1">
      <alignment horizontal="left" vertical="top" wrapText="1"/>
      <protection/>
    </xf>
    <xf numFmtId="39" fontId="24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7" fillId="35" borderId="31" xfId="0" applyFont="1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39" fontId="82" fillId="0" borderId="0" xfId="0" applyNumberFormat="1" applyFont="1" applyAlignment="1">
      <alignment horizontal="right"/>
    </xf>
    <xf numFmtId="0" fontId="79" fillId="0" borderId="0" xfId="0" applyFont="1" applyAlignment="1">
      <alignment horizontal="left"/>
    </xf>
    <xf numFmtId="0" fontId="79" fillId="0" borderId="0" xfId="0" applyFont="1" applyAlignment="1">
      <alignment horizontal="left" vertical="center" wrapText="1"/>
    </xf>
    <xf numFmtId="0" fontId="79" fillId="0" borderId="0" xfId="0" applyFont="1" applyAlignment="1">
      <alignment horizontal="left" vertical="center"/>
    </xf>
    <xf numFmtId="0" fontId="85" fillId="0" borderId="0" xfId="0" applyFont="1" applyAlignment="1">
      <alignment horizontal="left" vertical="top" wrapText="1"/>
    </xf>
    <xf numFmtId="0" fontId="0" fillId="34" borderId="33" xfId="0" applyFont="1" applyFill="1" applyBorder="1" applyAlignment="1">
      <alignment horizontal="left" vertical="center" wrapText="1"/>
    </xf>
    <xf numFmtId="0" fontId="0" fillId="34" borderId="33" xfId="0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 wrapText="1"/>
    </xf>
    <xf numFmtId="0" fontId="32" fillId="33" borderId="0" xfId="36" applyFont="1" applyFill="1" applyAlignment="1" applyProtection="1">
      <alignment horizontal="center" vertical="center"/>
      <protection/>
    </xf>
    <xf numFmtId="39" fontId="18" fillId="0" borderId="0" xfId="0" applyNumberFormat="1" applyFont="1" applyAlignment="1">
      <alignment horizontal="right"/>
    </xf>
    <xf numFmtId="0" fontId="0" fillId="0" borderId="33" xfId="0" applyFont="1" applyBorder="1" applyAlignment="1">
      <alignment horizontal="left" vertical="center"/>
    </xf>
    <xf numFmtId="39" fontId="0" fillId="34" borderId="33" xfId="0" applyNumberFormat="1" applyFont="1" applyFill="1" applyBorder="1" applyAlignment="1">
      <alignment horizontal="right" vertical="center"/>
    </xf>
    <xf numFmtId="39" fontId="0" fillId="0" borderId="33" xfId="0" applyNumberFormat="1" applyFont="1" applyBorder="1" applyAlignment="1">
      <alignment horizontal="right" vertical="center"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Normální 6" xfId="50"/>
    <cellStyle name="Normální 7" xfId="51"/>
    <cellStyle name="Followed Hyperlink" xfId="52"/>
    <cellStyle name="Poznámka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7"/>
  <sheetViews>
    <sheetView showGridLines="0" zoomScalePageLayoutView="0" workbookViewId="0" topLeftCell="A1">
      <pane ySplit="1" topLeftCell="A10" activePane="bottomLeft" state="frozen"/>
      <selection pane="topLeft" activeCell="A1" sqref="A1"/>
      <selection pane="bottomLeft" activeCell="AE18" sqref="AE18"/>
    </sheetView>
  </sheetViews>
  <sheetFormatPr defaultColWidth="10.66015625" defaultRowHeight="14.25" customHeight="1"/>
  <cols>
    <col min="1" max="1" width="8.16015625" style="2" customWidth="1"/>
    <col min="2" max="2" width="1.66796875" style="2" customWidth="1"/>
    <col min="3" max="3" width="4.16015625" style="2" customWidth="1"/>
    <col min="4" max="33" width="2.5" style="2" customWidth="1"/>
    <col min="34" max="34" width="3.16015625" style="2" customWidth="1"/>
    <col min="35" max="37" width="2.5" style="2" customWidth="1"/>
    <col min="38" max="38" width="8.16015625" style="2" customWidth="1"/>
    <col min="39" max="39" width="3.16015625" style="2" customWidth="1"/>
    <col min="40" max="40" width="13.160156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660156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45" t="s">
        <v>0</v>
      </c>
      <c r="B1" s="146"/>
      <c r="C1" s="146"/>
      <c r="D1" s="147" t="s">
        <v>1</v>
      </c>
      <c r="E1" s="146"/>
      <c r="F1" s="146"/>
      <c r="G1" s="146"/>
      <c r="H1" s="146"/>
      <c r="I1" s="146"/>
      <c r="J1" s="146"/>
      <c r="K1" s="148" t="s">
        <v>146</v>
      </c>
      <c r="L1" s="148"/>
      <c r="M1" s="148"/>
      <c r="N1" s="148"/>
      <c r="O1" s="148"/>
      <c r="P1" s="148"/>
      <c r="Q1" s="148"/>
      <c r="R1" s="148"/>
      <c r="S1" s="148"/>
      <c r="T1" s="146"/>
      <c r="U1" s="146"/>
      <c r="V1" s="146"/>
      <c r="W1" s="148" t="s">
        <v>147</v>
      </c>
      <c r="X1" s="148"/>
      <c r="Y1" s="148"/>
      <c r="Z1" s="148"/>
      <c r="AA1" s="148"/>
      <c r="AB1" s="148"/>
      <c r="AC1" s="148"/>
      <c r="AD1" s="148"/>
      <c r="AE1" s="148"/>
      <c r="AF1" s="148"/>
      <c r="AG1" s="146"/>
      <c r="AH1" s="146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92" t="s">
        <v>4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R2" s="221" t="s">
        <v>5</v>
      </c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94" t="s">
        <v>9</v>
      </c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1"/>
      <c r="AS4" s="12" t="s">
        <v>10</v>
      </c>
      <c r="BE4" s="13" t="s">
        <v>11</v>
      </c>
      <c r="BS4" s="6" t="s">
        <v>12</v>
      </c>
    </row>
    <row r="5" spans="2:71" s="2" customFormat="1" ht="15" customHeight="1">
      <c r="B5" s="10"/>
      <c r="D5" s="14" t="s">
        <v>13</v>
      </c>
      <c r="K5" s="198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Q5" s="11"/>
      <c r="BE5" s="195" t="s">
        <v>14</v>
      </c>
      <c r="BS5" s="6" t="s">
        <v>6</v>
      </c>
    </row>
    <row r="6" spans="2:71" s="2" customFormat="1" ht="37.5" customHeight="1">
      <c r="B6" s="10"/>
      <c r="D6" s="16" t="s">
        <v>15</v>
      </c>
      <c r="K6" s="199" t="s">
        <v>206</v>
      </c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Q6" s="11"/>
      <c r="BE6" s="193"/>
      <c r="BS6" s="6" t="s">
        <v>16</v>
      </c>
    </row>
    <row r="7" spans="2:71" s="2" customFormat="1" ht="15" customHeight="1">
      <c r="B7" s="10"/>
      <c r="D7" s="17" t="s">
        <v>17</v>
      </c>
      <c r="K7" s="15"/>
      <c r="AK7" s="17" t="s">
        <v>18</v>
      </c>
      <c r="AN7" s="15"/>
      <c r="AQ7" s="11"/>
      <c r="BE7" s="193"/>
      <c r="BS7" s="6" t="s">
        <v>19</v>
      </c>
    </row>
    <row r="8" spans="2:71" s="2" customFormat="1" ht="15" customHeight="1">
      <c r="B8" s="10"/>
      <c r="D8" s="17" t="s">
        <v>20</v>
      </c>
      <c r="K8" s="15"/>
      <c r="AK8" s="17" t="s">
        <v>21</v>
      </c>
      <c r="AN8" s="18"/>
      <c r="AQ8" s="11"/>
      <c r="BE8" s="193"/>
      <c r="BS8" s="6" t="s">
        <v>22</v>
      </c>
    </row>
    <row r="9" spans="2:71" s="2" customFormat="1" ht="15" customHeight="1">
      <c r="B9" s="10"/>
      <c r="AQ9" s="11"/>
      <c r="BE9" s="193"/>
      <c r="BS9" s="6" t="s">
        <v>23</v>
      </c>
    </row>
    <row r="10" spans="2:71" s="2" customFormat="1" ht="15" customHeight="1">
      <c r="B10" s="10"/>
      <c r="D10" s="17" t="s">
        <v>24</v>
      </c>
      <c r="AK10" s="17" t="s">
        <v>25</v>
      </c>
      <c r="AN10" s="162"/>
      <c r="AQ10" s="11"/>
      <c r="BE10" s="193"/>
      <c r="BS10" s="6" t="s">
        <v>16</v>
      </c>
    </row>
    <row r="11" spans="2:71" s="2" customFormat="1" ht="19.5" customHeight="1">
      <c r="B11" s="10"/>
      <c r="E11" s="190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7" t="s">
        <v>26</v>
      </c>
      <c r="AN11" s="15"/>
      <c r="AQ11" s="11"/>
      <c r="BE11" s="193"/>
      <c r="BS11" s="6" t="s">
        <v>16</v>
      </c>
    </row>
    <row r="12" spans="2:71" s="2" customFormat="1" ht="7.5" customHeight="1">
      <c r="B12" s="10"/>
      <c r="AQ12" s="11"/>
      <c r="BE12" s="193"/>
      <c r="BS12" s="6" t="s">
        <v>16</v>
      </c>
    </row>
    <row r="13" spans="2:71" s="2" customFormat="1" ht="15" customHeight="1">
      <c r="B13" s="10"/>
      <c r="D13" s="17" t="s">
        <v>27</v>
      </c>
      <c r="AK13" s="17" t="s">
        <v>25</v>
      </c>
      <c r="AN13" s="19"/>
      <c r="AQ13" s="11"/>
      <c r="BE13" s="193"/>
      <c r="BS13" s="6" t="s">
        <v>16</v>
      </c>
    </row>
    <row r="14" spans="2:71" s="2" customFormat="1" ht="15.75" customHeight="1">
      <c r="B14" s="10"/>
      <c r="E14" s="200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7" t="s">
        <v>26</v>
      </c>
      <c r="AN14" s="19"/>
      <c r="AQ14" s="11"/>
      <c r="BE14" s="193"/>
      <c r="BS14" s="6" t="s">
        <v>16</v>
      </c>
    </row>
    <row r="15" spans="2:71" ht="15" customHeight="1">
      <c r="B15" s="10"/>
      <c r="D15" s="17" t="s">
        <v>28</v>
      </c>
      <c r="AK15" s="17"/>
      <c r="AN15" s="15"/>
      <c r="AQ15" s="11"/>
      <c r="AR15" s="2"/>
      <c r="BE15" s="193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6" t="s">
        <v>6</v>
      </c>
    </row>
    <row r="16" spans="2:70" ht="15.75" customHeight="1">
      <c r="B16" s="10"/>
      <c r="E16" s="15"/>
      <c r="AK16" s="17"/>
      <c r="AN16" s="15"/>
      <c r="AQ16" s="11"/>
      <c r="AR16" s="2"/>
      <c r="BE16" s="193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2:70" ht="7.5" customHeight="1">
      <c r="B17" s="10"/>
      <c r="AQ17" s="11"/>
      <c r="AR17" s="2"/>
      <c r="BE17" s="193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2:70" ht="15.75" customHeight="1">
      <c r="B18" s="10"/>
      <c r="D18" s="17" t="s">
        <v>29</v>
      </c>
      <c r="AQ18" s="11"/>
      <c r="AR18" s="2"/>
      <c r="BE18" s="193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2:70" ht="15.75" customHeight="1">
      <c r="B19" s="10"/>
      <c r="E19" s="201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Q19" s="11"/>
      <c r="AR19" s="2"/>
      <c r="BE19" s="193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2:70" ht="7.5" customHeight="1">
      <c r="B20" s="10"/>
      <c r="AQ20" s="11"/>
      <c r="AR20" s="2"/>
      <c r="BE20" s="193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2:70" ht="7.5" customHeight="1">
      <c r="B21" s="1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Q21" s="11"/>
      <c r="AR21" s="2"/>
      <c r="BE21" s="193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15" customHeight="1">
      <c r="B22" s="10"/>
      <c r="D22" s="21" t="s">
        <v>30</v>
      </c>
      <c r="AK22" s="202">
        <f>ROUND($AG$73,2)</f>
        <v>0</v>
      </c>
      <c r="AL22" s="193"/>
      <c r="AM22" s="193"/>
      <c r="AN22" s="193"/>
      <c r="AO22" s="193"/>
      <c r="AQ22" s="11"/>
      <c r="AR22" s="2"/>
      <c r="BE22" s="193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70" ht="15" customHeight="1">
      <c r="B23" s="10"/>
      <c r="D23" s="21" t="s">
        <v>31</v>
      </c>
      <c r="AK23" s="202">
        <f>ROUND($AG$76,2)</f>
        <v>0</v>
      </c>
      <c r="AL23" s="193"/>
      <c r="AM23" s="193"/>
      <c r="AN23" s="193"/>
      <c r="AO23" s="193"/>
      <c r="AQ23" s="11"/>
      <c r="AR23" s="2"/>
      <c r="BE23" s="193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2:57" s="6" customFormat="1" ht="7.5" customHeight="1">
      <c r="B24" s="22"/>
      <c r="AQ24" s="23"/>
      <c r="BE24" s="196"/>
    </row>
    <row r="25" spans="2:57" s="6" customFormat="1" ht="27" customHeight="1">
      <c r="B25" s="22"/>
      <c r="D25" s="24" t="s">
        <v>32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03">
        <f>ROUND($AK$22+$AK$23,2)</f>
        <v>0</v>
      </c>
      <c r="AL25" s="204"/>
      <c r="AM25" s="204"/>
      <c r="AN25" s="204"/>
      <c r="AO25" s="204"/>
      <c r="AQ25" s="23"/>
      <c r="BE25" s="196"/>
    </row>
    <row r="26" spans="2:57" s="6" customFormat="1" ht="7.5" customHeight="1">
      <c r="B26" s="22"/>
      <c r="AQ26" s="23"/>
      <c r="BE26" s="196"/>
    </row>
    <row r="27" spans="2:57" s="6" customFormat="1" ht="15" customHeight="1">
      <c r="B27" s="26"/>
      <c r="D27" s="27" t="s">
        <v>33</v>
      </c>
      <c r="F27" s="27" t="s">
        <v>34</v>
      </c>
      <c r="L27" s="205">
        <v>0.21</v>
      </c>
      <c r="M27" s="197"/>
      <c r="N27" s="197"/>
      <c r="O27" s="197"/>
      <c r="T27" s="29" t="s">
        <v>35</v>
      </c>
      <c r="W27" s="206">
        <f>ROUND($AZ$73+SUM($CD$77:$CD$81),2)</f>
        <v>0</v>
      </c>
      <c r="X27" s="197"/>
      <c r="Y27" s="197"/>
      <c r="Z27" s="197"/>
      <c r="AA27" s="197"/>
      <c r="AB27" s="197"/>
      <c r="AC27" s="197"/>
      <c r="AD27" s="197"/>
      <c r="AE27" s="197"/>
      <c r="AK27" s="206">
        <f>W27*0.21</f>
        <v>0</v>
      </c>
      <c r="AL27" s="197"/>
      <c r="AM27" s="197"/>
      <c r="AN27" s="197"/>
      <c r="AO27" s="197"/>
      <c r="AQ27" s="30"/>
      <c r="BE27" s="197"/>
    </row>
    <row r="28" spans="2:57" s="6" customFormat="1" ht="15" customHeight="1">
      <c r="B28" s="26"/>
      <c r="F28" s="27" t="s">
        <v>36</v>
      </c>
      <c r="L28" s="205">
        <v>0.15</v>
      </c>
      <c r="M28" s="197"/>
      <c r="N28" s="197"/>
      <c r="O28" s="197"/>
      <c r="T28" s="29" t="s">
        <v>35</v>
      </c>
      <c r="W28" s="206">
        <f>ROUND($BA$73+SUM($CE$77:$CE$81),2)</f>
        <v>0</v>
      </c>
      <c r="X28" s="197"/>
      <c r="Y28" s="197"/>
      <c r="Z28" s="197"/>
      <c r="AA28" s="197"/>
      <c r="AB28" s="197"/>
      <c r="AC28" s="197"/>
      <c r="AD28" s="197"/>
      <c r="AE28" s="197"/>
      <c r="AK28" s="206">
        <f>ROUND($AW$73+SUM($BZ$77:$BZ$81),2)</f>
        <v>0</v>
      </c>
      <c r="AL28" s="197"/>
      <c r="AM28" s="197"/>
      <c r="AN28" s="197"/>
      <c r="AO28" s="197"/>
      <c r="AQ28" s="30"/>
      <c r="BE28" s="197"/>
    </row>
    <row r="29" spans="2:57" s="6" customFormat="1" ht="15" customHeight="1" hidden="1">
      <c r="B29" s="26"/>
      <c r="F29" s="27" t="s">
        <v>37</v>
      </c>
      <c r="L29" s="205">
        <v>0.21</v>
      </c>
      <c r="M29" s="197"/>
      <c r="N29" s="197"/>
      <c r="O29" s="197"/>
      <c r="T29" s="29" t="s">
        <v>35</v>
      </c>
      <c r="W29" s="206">
        <f>ROUND($BB$73+SUM($CF$77:$CF$81),2)</f>
        <v>0</v>
      </c>
      <c r="X29" s="197"/>
      <c r="Y29" s="197"/>
      <c r="Z29" s="197"/>
      <c r="AA29" s="197"/>
      <c r="AB29" s="197"/>
      <c r="AC29" s="197"/>
      <c r="AD29" s="197"/>
      <c r="AE29" s="197"/>
      <c r="AK29" s="206">
        <v>0</v>
      </c>
      <c r="AL29" s="197"/>
      <c r="AM29" s="197"/>
      <c r="AN29" s="197"/>
      <c r="AO29" s="197"/>
      <c r="AQ29" s="30"/>
      <c r="BE29" s="197"/>
    </row>
    <row r="30" spans="2:57" s="6" customFormat="1" ht="15" customHeight="1" hidden="1">
      <c r="B30" s="26"/>
      <c r="F30" s="27" t="s">
        <v>38</v>
      </c>
      <c r="L30" s="205">
        <v>0.15</v>
      </c>
      <c r="M30" s="197"/>
      <c r="N30" s="197"/>
      <c r="O30" s="197"/>
      <c r="T30" s="29" t="s">
        <v>35</v>
      </c>
      <c r="W30" s="206">
        <f>ROUND($BC$73+SUM($CG$77:$CG$81),2)</f>
        <v>0</v>
      </c>
      <c r="X30" s="197"/>
      <c r="Y30" s="197"/>
      <c r="Z30" s="197"/>
      <c r="AA30" s="197"/>
      <c r="AB30" s="197"/>
      <c r="AC30" s="197"/>
      <c r="AD30" s="197"/>
      <c r="AE30" s="197"/>
      <c r="AK30" s="206">
        <v>0</v>
      </c>
      <c r="AL30" s="197"/>
      <c r="AM30" s="197"/>
      <c r="AN30" s="197"/>
      <c r="AO30" s="197"/>
      <c r="AQ30" s="30"/>
      <c r="BE30" s="197"/>
    </row>
    <row r="31" spans="2:43" s="6" customFormat="1" ht="15" customHeight="1" hidden="1">
      <c r="B31" s="26"/>
      <c r="F31" s="27" t="s">
        <v>39</v>
      </c>
      <c r="L31" s="205">
        <v>0</v>
      </c>
      <c r="M31" s="197"/>
      <c r="N31" s="197"/>
      <c r="O31" s="197"/>
      <c r="T31" s="29" t="s">
        <v>35</v>
      </c>
      <c r="W31" s="206">
        <f>ROUND($BD$73+SUM($CH$77:$CH$81),2)</f>
        <v>0</v>
      </c>
      <c r="X31" s="197"/>
      <c r="Y31" s="197"/>
      <c r="Z31" s="197"/>
      <c r="AA31" s="197"/>
      <c r="AB31" s="197"/>
      <c r="AC31" s="197"/>
      <c r="AD31" s="197"/>
      <c r="AE31" s="197"/>
      <c r="AK31" s="206">
        <v>0</v>
      </c>
      <c r="AL31" s="197"/>
      <c r="AM31" s="197"/>
      <c r="AN31" s="197"/>
      <c r="AO31" s="197"/>
      <c r="AQ31" s="30"/>
    </row>
    <row r="32" spans="2:43" s="6" customFormat="1" ht="7.5" customHeight="1">
      <c r="B32" s="22"/>
      <c r="AQ32" s="23"/>
    </row>
    <row r="33" spans="2:43" s="6" customFormat="1" ht="27" customHeight="1">
      <c r="B33" s="22"/>
      <c r="C33" s="31"/>
      <c r="D33" s="32" t="s">
        <v>40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4" t="s">
        <v>41</v>
      </c>
      <c r="U33" s="33"/>
      <c r="V33" s="33"/>
      <c r="W33" s="33"/>
      <c r="X33" s="217" t="s">
        <v>42</v>
      </c>
      <c r="Y33" s="211"/>
      <c r="Z33" s="211"/>
      <c r="AA33" s="211"/>
      <c r="AB33" s="211"/>
      <c r="AC33" s="33"/>
      <c r="AD33" s="33"/>
      <c r="AE33" s="33"/>
      <c r="AF33" s="33"/>
      <c r="AG33" s="33"/>
      <c r="AH33" s="33"/>
      <c r="AI33" s="33"/>
      <c r="AJ33" s="33"/>
      <c r="AK33" s="218">
        <f>SUM($AK$25:$AK$31)</f>
        <v>0</v>
      </c>
      <c r="AL33" s="211"/>
      <c r="AM33" s="211"/>
      <c r="AN33" s="211"/>
      <c r="AO33" s="213"/>
      <c r="AP33" s="31"/>
      <c r="AQ33" s="23"/>
    </row>
    <row r="34" spans="2:43" s="6" customFormat="1" ht="15" customHeight="1">
      <c r="B34" s="22"/>
      <c r="AQ34" s="23"/>
    </row>
    <row r="35" spans="2:43" s="2" customFormat="1" ht="14.25" customHeight="1">
      <c r="B35" s="10"/>
      <c r="AQ35" s="11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6" customFormat="1" ht="15.75" customHeight="1">
      <c r="B46" s="22"/>
      <c r="D46" s="35" t="s">
        <v>45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7"/>
      <c r="AC46" s="35" t="s">
        <v>46</v>
      </c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7"/>
      <c r="AQ46" s="23"/>
    </row>
    <row r="47" spans="2:43" s="2" customFormat="1" ht="14.25" customHeight="1">
      <c r="B47" s="10"/>
      <c r="D47" s="38"/>
      <c r="Z47" s="39"/>
      <c r="AC47" s="38"/>
      <c r="AO47" s="39"/>
      <c r="AQ47" s="11"/>
    </row>
    <row r="48" spans="2:43" s="2" customFormat="1" ht="14.25" customHeight="1">
      <c r="B48" s="10"/>
      <c r="D48" s="38"/>
      <c r="Z48" s="39"/>
      <c r="AC48" s="38"/>
      <c r="AO48" s="39"/>
      <c r="AQ48" s="11"/>
    </row>
    <row r="49" spans="2:43" s="2" customFormat="1" ht="14.25" customHeight="1">
      <c r="B49" s="10"/>
      <c r="D49" s="38"/>
      <c r="Z49" s="39"/>
      <c r="AC49" s="38"/>
      <c r="AO49" s="39"/>
      <c r="AQ49" s="11"/>
    </row>
    <row r="50" spans="2:43" s="2" customFormat="1" ht="14.25" customHeight="1">
      <c r="B50" s="10"/>
      <c r="D50" s="38"/>
      <c r="Z50" s="39"/>
      <c r="AC50" s="38"/>
      <c r="AO50" s="39"/>
      <c r="AQ50" s="11"/>
    </row>
    <row r="51" spans="2:43" s="2" customFormat="1" ht="14.25" customHeight="1">
      <c r="B51" s="10"/>
      <c r="D51" s="38"/>
      <c r="Z51" s="39"/>
      <c r="AC51" s="38"/>
      <c r="AO51" s="39"/>
      <c r="AQ51" s="11"/>
    </row>
    <row r="52" spans="2:43" s="2" customFormat="1" ht="14.25" customHeight="1">
      <c r="B52" s="10"/>
      <c r="D52" s="38"/>
      <c r="Z52" s="39"/>
      <c r="AC52" s="38"/>
      <c r="AO52" s="39"/>
      <c r="AQ52" s="11"/>
    </row>
    <row r="53" spans="2:43" s="2" customFormat="1" ht="14.25" customHeight="1">
      <c r="B53" s="10"/>
      <c r="D53" s="38"/>
      <c r="Z53" s="39"/>
      <c r="AC53" s="38"/>
      <c r="AO53" s="39"/>
      <c r="AQ53" s="11"/>
    </row>
    <row r="54" spans="2:43" s="2" customFormat="1" ht="14.25" customHeight="1">
      <c r="B54" s="10"/>
      <c r="D54" s="38"/>
      <c r="Z54" s="39"/>
      <c r="AC54" s="38"/>
      <c r="AO54" s="39"/>
      <c r="AQ54" s="11"/>
    </row>
    <row r="55" spans="2:43" s="6" customFormat="1" ht="15.75" customHeight="1">
      <c r="B55" s="22"/>
      <c r="D55" s="40" t="s">
        <v>43</v>
      </c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2" t="s">
        <v>44</v>
      </c>
      <c r="S55" s="41"/>
      <c r="T55" s="41"/>
      <c r="U55" s="41"/>
      <c r="V55" s="41"/>
      <c r="W55" s="41"/>
      <c r="X55" s="41"/>
      <c r="Y55" s="41"/>
      <c r="Z55" s="43"/>
      <c r="AC55" s="40" t="s">
        <v>43</v>
      </c>
      <c r="AD55" s="41"/>
      <c r="AE55" s="41"/>
      <c r="AF55" s="41"/>
      <c r="AG55" s="41"/>
      <c r="AH55" s="41"/>
      <c r="AI55" s="41"/>
      <c r="AJ55" s="41"/>
      <c r="AK55" s="41"/>
      <c r="AL55" s="41"/>
      <c r="AM55" s="42" t="s">
        <v>44</v>
      </c>
      <c r="AN55" s="41"/>
      <c r="AO55" s="43"/>
      <c r="AQ55" s="23"/>
    </row>
    <row r="56" spans="2:43" s="6" customFormat="1" ht="7.5" customHeight="1">
      <c r="B56" s="22"/>
      <c r="AQ56" s="23"/>
    </row>
    <row r="57" spans="2:43" s="6" customFormat="1" ht="7.5" customHeight="1">
      <c r="B57" s="44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6"/>
    </row>
    <row r="61" spans="2:43" s="6" customFormat="1" ht="7.5" customHeight="1">
      <c r="B61" s="47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9"/>
    </row>
    <row r="62" spans="2:43" s="6" customFormat="1" ht="37.5" customHeight="1">
      <c r="B62" s="22"/>
      <c r="C62" s="194" t="s">
        <v>47</v>
      </c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23"/>
    </row>
    <row r="63" spans="2:43" s="15" customFormat="1" ht="15" customHeight="1">
      <c r="B63" s="50"/>
      <c r="C63" s="17" t="s">
        <v>13</v>
      </c>
      <c r="L63" s="15">
        <f>$K$5</f>
        <v>0</v>
      </c>
      <c r="AQ63" s="51"/>
    </row>
    <row r="64" spans="2:43" s="52" customFormat="1" ht="37.5" customHeight="1">
      <c r="B64" s="53"/>
      <c r="C64" s="52" t="s">
        <v>15</v>
      </c>
      <c r="L64" s="214" t="str">
        <f>$K$6</f>
        <v>Workoutové hřiště, Ostrava - Svinov</v>
      </c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  <c r="AM64" s="196"/>
      <c r="AN64" s="196"/>
      <c r="AO64" s="196"/>
      <c r="AQ64" s="54"/>
    </row>
    <row r="65" spans="2:43" s="6" customFormat="1" ht="7.5" customHeight="1">
      <c r="B65" s="22"/>
      <c r="AQ65" s="23"/>
    </row>
    <row r="66" spans="2:43" s="6" customFormat="1" ht="15.75" customHeight="1">
      <c r="B66" s="22"/>
      <c r="C66" s="17" t="s">
        <v>20</v>
      </c>
      <c r="L66" s="55">
        <f>IF($K$8="","",$K$8)</f>
      </c>
      <c r="AI66" s="17" t="s">
        <v>21</v>
      </c>
      <c r="AM66" s="56">
        <f>IF($AN$8="","",$AN$8)</f>
      </c>
      <c r="AQ66" s="23"/>
    </row>
    <row r="67" spans="2:43" s="6" customFormat="1" ht="7.5" customHeight="1">
      <c r="B67" s="22"/>
      <c r="AQ67" s="23"/>
    </row>
    <row r="68" spans="2:56" s="6" customFormat="1" ht="18.75" customHeight="1">
      <c r="B68" s="22"/>
      <c r="C68" s="17" t="s">
        <v>24</v>
      </c>
      <c r="L68" s="15">
        <f>IF($E$11="","",$E$11)</f>
      </c>
      <c r="AI68" s="17"/>
      <c r="AM68" s="198"/>
      <c r="AN68" s="196"/>
      <c r="AO68" s="196"/>
      <c r="AP68" s="196"/>
      <c r="AQ68" s="23"/>
      <c r="AS68" s="207" t="s">
        <v>48</v>
      </c>
      <c r="AT68" s="208"/>
      <c r="AU68" s="36"/>
      <c r="AV68" s="36"/>
      <c r="AW68" s="36"/>
      <c r="AX68" s="36"/>
      <c r="AY68" s="36"/>
      <c r="AZ68" s="36"/>
      <c r="BA68" s="36"/>
      <c r="BB68" s="36"/>
      <c r="BC68" s="36"/>
      <c r="BD68" s="37"/>
    </row>
    <row r="69" spans="2:56" s="6" customFormat="1" ht="15.75" customHeight="1">
      <c r="B69" s="22"/>
      <c r="C69" s="17" t="s">
        <v>27</v>
      </c>
      <c r="L69" s="15">
        <f>IF($E$14="Vyplň údaj","",$E$14)</f>
        <v>0</v>
      </c>
      <c r="AI69" s="17" t="s">
        <v>28</v>
      </c>
      <c r="AM69" s="198">
        <f>IF($E$16="","",$E$16)</f>
      </c>
      <c r="AN69" s="196"/>
      <c r="AO69" s="196"/>
      <c r="AP69" s="196"/>
      <c r="AQ69" s="23"/>
      <c r="AS69" s="209"/>
      <c r="AT69" s="196"/>
      <c r="BD69" s="58"/>
    </row>
    <row r="70" spans="2:56" s="6" customFormat="1" ht="12" customHeight="1">
      <c r="B70" s="22"/>
      <c r="AQ70" s="23"/>
      <c r="AS70" s="209"/>
      <c r="AT70" s="196"/>
      <c r="BD70" s="58"/>
    </row>
    <row r="71" spans="2:57" s="6" customFormat="1" ht="30" customHeight="1">
      <c r="B71" s="22"/>
      <c r="C71" s="210" t="s">
        <v>49</v>
      </c>
      <c r="D71" s="211"/>
      <c r="E71" s="211"/>
      <c r="F71" s="211"/>
      <c r="G71" s="211"/>
      <c r="H71" s="33"/>
      <c r="I71" s="212" t="s">
        <v>50</v>
      </c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1"/>
      <c r="AG71" s="212" t="s">
        <v>51</v>
      </c>
      <c r="AH71" s="211"/>
      <c r="AI71" s="211"/>
      <c r="AJ71" s="211"/>
      <c r="AK71" s="211"/>
      <c r="AL71" s="211"/>
      <c r="AM71" s="211"/>
      <c r="AN71" s="212" t="s">
        <v>52</v>
      </c>
      <c r="AO71" s="211"/>
      <c r="AP71" s="213"/>
      <c r="AQ71" s="23"/>
      <c r="AS71" s="59" t="s">
        <v>53</v>
      </c>
      <c r="AT71" s="60" t="s">
        <v>54</v>
      </c>
      <c r="AU71" s="60" t="s">
        <v>55</v>
      </c>
      <c r="AV71" s="60" t="s">
        <v>56</v>
      </c>
      <c r="AW71" s="60" t="s">
        <v>57</v>
      </c>
      <c r="AX71" s="60" t="s">
        <v>58</v>
      </c>
      <c r="AY71" s="60" t="s">
        <v>59</v>
      </c>
      <c r="AZ71" s="60" t="s">
        <v>60</v>
      </c>
      <c r="BA71" s="60" t="s">
        <v>61</v>
      </c>
      <c r="BB71" s="60" t="s">
        <v>62</v>
      </c>
      <c r="BC71" s="60" t="s">
        <v>63</v>
      </c>
      <c r="BD71" s="61" t="s">
        <v>64</v>
      </c>
      <c r="BE71" s="62"/>
    </row>
    <row r="72" spans="2:56" s="6" customFormat="1" ht="12" customHeight="1">
      <c r="B72" s="22"/>
      <c r="AQ72" s="23"/>
      <c r="AS72" s="63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7"/>
    </row>
    <row r="73" spans="2:76" s="52" customFormat="1" ht="33" customHeight="1">
      <c r="B73" s="53"/>
      <c r="C73" s="64" t="s">
        <v>65</v>
      </c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225">
        <f>ROUND($AG$74,2)</f>
        <v>0</v>
      </c>
      <c r="AH73" s="226"/>
      <c r="AI73" s="226"/>
      <c r="AJ73" s="226"/>
      <c r="AK73" s="226"/>
      <c r="AL73" s="226"/>
      <c r="AM73" s="226"/>
      <c r="AN73" s="225">
        <f>SUM($AG$73,$AT$73)</f>
        <v>0</v>
      </c>
      <c r="AO73" s="226"/>
      <c r="AP73" s="226"/>
      <c r="AQ73" s="54"/>
      <c r="AS73" s="65">
        <f>ROUND($AS$74,2)</f>
        <v>0</v>
      </c>
      <c r="AT73" s="66">
        <f>ROUND(SUM($AV$73:$AW$73),2)</f>
        <v>0</v>
      </c>
      <c r="AU73" s="67" t="e">
        <f>ROUND($AU$74,5)</f>
        <v>#REF!</v>
      </c>
      <c r="AV73" s="66">
        <f>ROUND($AZ$73*$L$27,2)</f>
        <v>0</v>
      </c>
      <c r="AW73" s="66">
        <f>ROUND($BA$73*$L$28,2)</f>
        <v>0</v>
      </c>
      <c r="AX73" s="66">
        <f>ROUND($BB$73*$L$27,2)</f>
        <v>0</v>
      </c>
      <c r="AY73" s="66">
        <f>ROUND($BC$73*$L$28,2)</f>
        <v>0</v>
      </c>
      <c r="AZ73" s="66">
        <f>ROUND($AZ$74,2)</f>
        <v>0</v>
      </c>
      <c r="BA73" s="66">
        <f>ROUND($BA$74,2)</f>
        <v>0</v>
      </c>
      <c r="BB73" s="66">
        <f>ROUND($BB$74,2)</f>
        <v>0</v>
      </c>
      <c r="BC73" s="66">
        <f>ROUND($BC$74,2)</f>
        <v>0</v>
      </c>
      <c r="BD73" s="68">
        <f>ROUND($BD$74,2)</f>
        <v>0</v>
      </c>
      <c r="BS73" s="52" t="s">
        <v>66</v>
      </c>
      <c r="BT73" s="52" t="s">
        <v>67</v>
      </c>
      <c r="BU73" s="69" t="s">
        <v>68</v>
      </c>
      <c r="BV73" s="52" t="s">
        <v>69</v>
      </c>
      <c r="BW73" s="52" t="s">
        <v>70</v>
      </c>
      <c r="BX73" s="52" t="s">
        <v>71</v>
      </c>
    </row>
    <row r="74" spans="1:76" s="70" customFormat="1" ht="28.5" customHeight="1">
      <c r="A74" s="144" t="s">
        <v>148</v>
      </c>
      <c r="B74" s="71"/>
      <c r="C74" s="72"/>
      <c r="D74" s="219" t="s">
        <v>72</v>
      </c>
      <c r="E74" s="220"/>
      <c r="F74" s="220"/>
      <c r="G74" s="220"/>
      <c r="H74" s="220"/>
      <c r="I74" s="72"/>
      <c r="J74" s="219" t="s">
        <v>73</v>
      </c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15">
        <f>'01 - Stavební práce'!$M$27</f>
        <v>0</v>
      </c>
      <c r="AH74" s="216"/>
      <c r="AI74" s="216"/>
      <c r="AJ74" s="216"/>
      <c r="AK74" s="216"/>
      <c r="AL74" s="216"/>
      <c r="AM74" s="216"/>
      <c r="AN74" s="215">
        <f>SUM($AG$74,$AT$74)</f>
        <v>0</v>
      </c>
      <c r="AO74" s="216"/>
      <c r="AP74" s="216"/>
      <c r="AQ74" s="73"/>
      <c r="AS74" s="74">
        <f>'01 - Stavební práce'!$M$25</f>
        <v>0</v>
      </c>
      <c r="AT74" s="75">
        <f>ROUND(SUM($AV$74:$AW$74),2)</f>
        <v>0</v>
      </c>
      <c r="AU74" s="76" t="e">
        <f>'01 - Stavební práce'!$W$111</f>
        <v>#REF!</v>
      </c>
      <c r="AV74" s="75">
        <f>'01 - Stavební práce'!$M$29</f>
        <v>0</v>
      </c>
      <c r="AW74" s="75">
        <f>'01 - Stavební práce'!$M$30</f>
        <v>0</v>
      </c>
      <c r="AX74" s="75">
        <f>'01 - Stavební práce'!$M$31</f>
        <v>0</v>
      </c>
      <c r="AY74" s="75">
        <f>'01 - Stavební práce'!$M$32</f>
        <v>0</v>
      </c>
      <c r="AZ74" s="75">
        <f>'01 - Stavební práce'!$H$29</f>
        <v>0</v>
      </c>
      <c r="BA74" s="75">
        <f>'01 - Stavební práce'!$H$30</f>
        <v>0</v>
      </c>
      <c r="BB74" s="75">
        <f>'01 - Stavební práce'!$H$31</f>
        <v>0</v>
      </c>
      <c r="BC74" s="75">
        <f>'01 - Stavební práce'!$H$32</f>
        <v>0</v>
      </c>
      <c r="BD74" s="77">
        <f>'01 - Stavební práce'!$H$33</f>
        <v>0</v>
      </c>
      <c r="BT74" s="70" t="s">
        <v>19</v>
      </c>
      <c r="BV74" s="70" t="s">
        <v>69</v>
      </c>
      <c r="BW74" s="70" t="s">
        <v>74</v>
      </c>
      <c r="BX74" s="70" t="s">
        <v>70</v>
      </c>
    </row>
    <row r="75" spans="2:43" s="2" customFormat="1" ht="14.25" customHeight="1">
      <c r="B75" s="10"/>
      <c r="AQ75" s="11"/>
    </row>
    <row r="76" spans="2:49" s="6" customFormat="1" ht="30.75" customHeight="1">
      <c r="B76" s="22"/>
      <c r="C76" s="64" t="s">
        <v>75</v>
      </c>
      <c r="AG76" s="225">
        <f>ROUND(SUM($AG$77:$AG$80),2)</f>
        <v>0</v>
      </c>
      <c r="AH76" s="196"/>
      <c r="AI76" s="196"/>
      <c r="AJ76" s="196"/>
      <c r="AK76" s="196"/>
      <c r="AL76" s="196"/>
      <c r="AM76" s="196"/>
      <c r="AN76" s="225">
        <f>ROUND(SUM($AN$77:$AN$80),2)</f>
        <v>0</v>
      </c>
      <c r="AO76" s="196"/>
      <c r="AP76" s="196"/>
      <c r="AQ76" s="23"/>
      <c r="AS76" s="59" t="s">
        <v>76</v>
      </c>
      <c r="AT76" s="60" t="s">
        <v>77</v>
      </c>
      <c r="AU76" s="60" t="s">
        <v>33</v>
      </c>
      <c r="AV76" s="61" t="s">
        <v>54</v>
      </c>
      <c r="AW76" s="62"/>
    </row>
    <row r="77" spans="2:89" s="6" customFormat="1" ht="21" customHeight="1">
      <c r="B77" s="22"/>
      <c r="D77" s="78" t="s">
        <v>78</v>
      </c>
      <c r="AG77" s="223">
        <f>ROUND($AG$73*$AS$77,2)</f>
        <v>0</v>
      </c>
      <c r="AH77" s="196"/>
      <c r="AI77" s="196"/>
      <c r="AJ77" s="196"/>
      <c r="AK77" s="196"/>
      <c r="AL77" s="196"/>
      <c r="AM77" s="196"/>
      <c r="AN77" s="224">
        <f>ROUND($AG$77+$AV$77,2)</f>
        <v>0</v>
      </c>
      <c r="AO77" s="196"/>
      <c r="AP77" s="196"/>
      <c r="AQ77" s="23"/>
      <c r="AS77" s="79">
        <v>0</v>
      </c>
      <c r="AT77" s="80" t="s">
        <v>79</v>
      </c>
      <c r="AU77" s="80" t="s">
        <v>34</v>
      </c>
      <c r="AV77" s="81">
        <f>ROUND(IF($AU$77="základní",$AG$77*$L$27,IF($AU$77="snížená",$AG$77*$L$28,0)),2)</f>
        <v>0</v>
      </c>
      <c r="BV77" s="6" t="s">
        <v>80</v>
      </c>
      <c r="BY77" s="82">
        <f>IF($AU$77="základní",$AV$77,0)</f>
        <v>0</v>
      </c>
      <c r="BZ77" s="82">
        <f>IF($AU$77="snížená",$AV$77,0)</f>
        <v>0</v>
      </c>
      <c r="CA77" s="82">
        <v>0</v>
      </c>
      <c r="CB77" s="82">
        <v>0</v>
      </c>
      <c r="CC77" s="82">
        <v>0</v>
      </c>
      <c r="CD77" s="82">
        <f>IF($AU$77="základní",$AG$77,0)</f>
        <v>0</v>
      </c>
      <c r="CE77" s="82">
        <f>IF($AU$77="snížená",$AG$77,0)</f>
        <v>0</v>
      </c>
      <c r="CF77" s="82">
        <f>IF($AU$77="zákl. přenesená",$AG$77,0)</f>
        <v>0</v>
      </c>
      <c r="CG77" s="82">
        <f>IF($AU$77="sníž. přenesená",$AG$77,0)</f>
        <v>0</v>
      </c>
      <c r="CH77" s="82">
        <f>IF($AU$77="nulová",$AG$77,0)</f>
        <v>0</v>
      </c>
      <c r="CI77" s="6">
        <f>IF($AU$77="základní",1,IF($AU$77="snížená",2,IF($AU$77="zákl. přenesená",4,IF($AU$77="sníž. přenesená",5,3))))</f>
        <v>1</v>
      </c>
      <c r="CJ77" s="6">
        <f>IF($AT$77="stavební čast",1,IF(8891="investiční čast",2,3))</f>
        <v>1</v>
      </c>
      <c r="CK77" s="6" t="str">
        <f>IF($D$77="Vyplň vlastní","","x")</f>
        <v>x</v>
      </c>
    </row>
    <row r="78" spans="2:89" s="6" customFormat="1" ht="21" customHeight="1">
      <c r="B78" s="22"/>
      <c r="D78" s="222"/>
      <c r="E78" s="196"/>
      <c r="F78" s="196"/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6"/>
      <c r="Y78" s="196"/>
      <c r="Z78" s="196"/>
      <c r="AA78" s="196"/>
      <c r="AB78" s="196"/>
      <c r="AG78" s="223">
        <f>$AG$73*$AS$78</f>
        <v>0</v>
      </c>
      <c r="AH78" s="196"/>
      <c r="AI78" s="196"/>
      <c r="AJ78" s="196"/>
      <c r="AK78" s="196"/>
      <c r="AL78" s="196"/>
      <c r="AM78" s="196"/>
      <c r="AN78" s="224">
        <f>$AG$78+$AV$78</f>
        <v>0</v>
      </c>
      <c r="AO78" s="196"/>
      <c r="AP78" s="196"/>
      <c r="AQ78" s="23"/>
      <c r="AS78" s="83">
        <v>0</v>
      </c>
      <c r="AT78" s="84" t="s">
        <v>79</v>
      </c>
      <c r="AU78" s="84" t="s">
        <v>34</v>
      </c>
      <c r="AV78" s="85">
        <f>ROUND(IF($AU$78="nulová",0,IF(OR($AU$78="základní",$AU$78="zákl. přenesená"),$AG$78*$L$27,$AG$78*$L$28)),2)</f>
        <v>0</v>
      </c>
      <c r="BV78" s="6" t="s">
        <v>81</v>
      </c>
      <c r="BY78" s="82">
        <f>IF($AU$78="základní",$AV$78,0)</f>
        <v>0</v>
      </c>
      <c r="BZ78" s="82">
        <f>IF($AU$78="snížená",$AV$78,0)</f>
        <v>0</v>
      </c>
      <c r="CA78" s="82">
        <f>IF($AU$78="zákl. přenesená",$AV$78,0)</f>
        <v>0</v>
      </c>
      <c r="CB78" s="82">
        <f>IF($AU$78="sníž. přenesená",$AV$78,0)</f>
        <v>0</v>
      </c>
      <c r="CC78" s="82">
        <f>IF($AU$78="nulová",$AV$78,0)</f>
        <v>0</v>
      </c>
      <c r="CD78" s="82">
        <f>IF($AU$78="základní",$AG$78,0)</f>
        <v>0</v>
      </c>
      <c r="CE78" s="82">
        <f>IF($AU$78="snížená",$AG$78,0)</f>
        <v>0</v>
      </c>
      <c r="CF78" s="82">
        <f>IF($AU$78="zákl. přenesená",$AG$78,0)</f>
        <v>0</v>
      </c>
      <c r="CG78" s="82">
        <f>IF($AU$78="sníž. přenesená",$AG$78,0)</f>
        <v>0</v>
      </c>
      <c r="CH78" s="82">
        <f>IF($AU$78="nulová",$AG$78,0)</f>
        <v>0</v>
      </c>
      <c r="CI78" s="6">
        <f>IF($AU$78="základní",1,IF($AU$78="snížená",2,IF($AU$78="zákl. přenesená",4,IF($AU$78="sníž. přenesená",5,3))))</f>
        <v>1</v>
      </c>
      <c r="CJ78" s="6">
        <f>IF($AT$78="stavební čast",1,IF(8892="investiční čast",2,3))</f>
        <v>1</v>
      </c>
      <c r="CK78" s="6" t="str">
        <f>IF($D$78="Vyplň vlastní","","x")</f>
        <v>x</v>
      </c>
    </row>
    <row r="79" spans="2:89" s="6" customFormat="1" ht="21" customHeight="1">
      <c r="B79" s="22"/>
      <c r="D79" s="222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196"/>
      <c r="W79" s="196"/>
      <c r="X79" s="196"/>
      <c r="Y79" s="196"/>
      <c r="Z79" s="196"/>
      <c r="AA79" s="196"/>
      <c r="AB79" s="196"/>
      <c r="AG79" s="223">
        <f>$AG$73*$AS$79</f>
        <v>0</v>
      </c>
      <c r="AH79" s="196"/>
      <c r="AI79" s="196"/>
      <c r="AJ79" s="196"/>
      <c r="AK79" s="196"/>
      <c r="AL79" s="196"/>
      <c r="AM79" s="196"/>
      <c r="AN79" s="224">
        <f>$AG$79+$AV$79</f>
        <v>0</v>
      </c>
      <c r="AO79" s="196"/>
      <c r="AP79" s="196"/>
      <c r="AQ79" s="23"/>
      <c r="AS79" s="83">
        <v>0</v>
      </c>
      <c r="AT79" s="84" t="s">
        <v>79</v>
      </c>
      <c r="AU79" s="84" t="s">
        <v>34</v>
      </c>
      <c r="AV79" s="85">
        <f>ROUND(IF($AU$79="nulová",0,IF(OR($AU$79="základní",$AU$79="zákl. přenesená"),$AG$79*$L$27,$AG$79*$L$28)),2)</f>
        <v>0</v>
      </c>
      <c r="BV79" s="6" t="s">
        <v>81</v>
      </c>
      <c r="BY79" s="82">
        <f>IF($AU$79="základní",$AV$79,0)</f>
        <v>0</v>
      </c>
      <c r="BZ79" s="82">
        <f>IF($AU$79="snížená",$AV$79,0)</f>
        <v>0</v>
      </c>
      <c r="CA79" s="82">
        <f>IF($AU$79="zákl. přenesená",$AV$79,0)</f>
        <v>0</v>
      </c>
      <c r="CB79" s="82">
        <f>IF($AU$79="sníž. přenesená",$AV$79,0)</f>
        <v>0</v>
      </c>
      <c r="CC79" s="82">
        <f>IF($AU$79="nulová",$AV$79,0)</f>
        <v>0</v>
      </c>
      <c r="CD79" s="82">
        <f>IF($AU$79="základní",$AG$79,0)</f>
        <v>0</v>
      </c>
      <c r="CE79" s="82">
        <f>IF($AU$79="snížená",$AG$79,0)</f>
        <v>0</v>
      </c>
      <c r="CF79" s="82">
        <f>IF($AU$79="zákl. přenesená",$AG$79,0)</f>
        <v>0</v>
      </c>
      <c r="CG79" s="82">
        <f>IF($AU$79="sníž. přenesená",$AG$79,0)</f>
        <v>0</v>
      </c>
      <c r="CH79" s="82">
        <f>IF($AU$79="nulová",$AG$79,0)</f>
        <v>0</v>
      </c>
      <c r="CI79" s="6">
        <f>IF($AU$79="základní",1,IF($AU$79="snížená",2,IF($AU$79="zákl. přenesená",4,IF($AU$79="sníž. přenesená",5,3))))</f>
        <v>1</v>
      </c>
      <c r="CJ79" s="6">
        <f>IF($AT$79="stavební čast",1,IF(8893="investiční čast",2,3))</f>
        <v>1</v>
      </c>
      <c r="CK79" s="6" t="str">
        <f>IF($D$79="Vyplň vlastní","","x")</f>
        <v>x</v>
      </c>
    </row>
    <row r="80" spans="2:89" s="6" customFormat="1" ht="21" customHeight="1">
      <c r="B80" s="22"/>
      <c r="D80" s="222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196"/>
      <c r="W80" s="196"/>
      <c r="X80" s="196"/>
      <c r="Y80" s="196"/>
      <c r="Z80" s="196"/>
      <c r="AA80" s="196"/>
      <c r="AB80" s="196"/>
      <c r="AG80" s="223">
        <f>$AG$73*$AS$80</f>
        <v>0</v>
      </c>
      <c r="AH80" s="196"/>
      <c r="AI80" s="196"/>
      <c r="AJ80" s="196"/>
      <c r="AK80" s="196"/>
      <c r="AL80" s="196"/>
      <c r="AM80" s="196"/>
      <c r="AN80" s="224">
        <f>$AG$80+$AV$80</f>
        <v>0</v>
      </c>
      <c r="AO80" s="196"/>
      <c r="AP80" s="196"/>
      <c r="AQ80" s="23"/>
      <c r="AS80" s="86">
        <v>0</v>
      </c>
      <c r="AT80" s="87" t="s">
        <v>79</v>
      </c>
      <c r="AU80" s="87" t="s">
        <v>34</v>
      </c>
      <c r="AV80" s="88">
        <f>ROUND(IF($AU$80="nulová",0,IF(OR($AU$80="základní",$AU$80="zákl. přenesená"),$AG$80*$L$27,$AG$80*$L$28)),2)</f>
        <v>0</v>
      </c>
      <c r="BV80" s="6" t="s">
        <v>81</v>
      </c>
      <c r="BY80" s="82">
        <f>IF($AU$80="základní",$AV$80,0)</f>
        <v>0</v>
      </c>
      <c r="BZ80" s="82">
        <f>IF($AU$80="snížená",$AV$80,0)</f>
        <v>0</v>
      </c>
      <c r="CA80" s="82">
        <f>IF($AU$80="zákl. přenesená",$AV$80,0)</f>
        <v>0</v>
      </c>
      <c r="CB80" s="82">
        <f>IF($AU$80="sníž. přenesená",$AV$80,0)</f>
        <v>0</v>
      </c>
      <c r="CC80" s="82">
        <f>IF($AU$80="nulová",$AV$80,0)</f>
        <v>0</v>
      </c>
      <c r="CD80" s="82">
        <f>IF($AU$80="základní",$AG$80,0)</f>
        <v>0</v>
      </c>
      <c r="CE80" s="82">
        <f>IF($AU$80="snížená",$AG$80,0)</f>
        <v>0</v>
      </c>
      <c r="CF80" s="82">
        <f>IF($AU$80="zákl. přenesená",$AG$80,0)</f>
        <v>0</v>
      </c>
      <c r="CG80" s="82">
        <f>IF($AU$80="sníž. přenesená",$AG$80,0)</f>
        <v>0</v>
      </c>
      <c r="CH80" s="82">
        <f>IF($AU$80="nulová",$AG$80,0)</f>
        <v>0</v>
      </c>
      <c r="CI80" s="6">
        <f>IF($AU$80="základní",1,IF($AU$80="snížená",2,IF($AU$80="zákl. přenesená",4,IF($AU$80="sníž. přenesená",5,3))))</f>
        <v>1</v>
      </c>
      <c r="CJ80" s="6">
        <f>IF($AT$80="stavební čast",1,IF(8894="investiční čast",2,3))</f>
        <v>1</v>
      </c>
      <c r="CK80" s="6" t="str">
        <f>IF($D$80="Vyplň vlastní","","x")</f>
        <v>x</v>
      </c>
    </row>
    <row r="81" spans="2:43" s="6" customFormat="1" ht="12" customHeight="1">
      <c r="B81" s="22"/>
      <c r="AQ81" s="23"/>
    </row>
    <row r="82" spans="2:43" s="6" customFormat="1" ht="30.75" customHeight="1">
      <c r="B82" s="22"/>
      <c r="C82" s="89" t="s">
        <v>82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227">
        <f>ROUND($AG$73+$AG$76,2)</f>
        <v>0</v>
      </c>
      <c r="AH82" s="228"/>
      <c r="AI82" s="228"/>
      <c r="AJ82" s="228"/>
      <c r="AK82" s="228"/>
      <c r="AL82" s="228"/>
      <c r="AM82" s="228"/>
      <c r="AN82" s="227">
        <f>$AN$73+$AN$76</f>
        <v>0</v>
      </c>
      <c r="AO82" s="228"/>
      <c r="AP82" s="228"/>
      <c r="AQ82" s="23"/>
    </row>
    <row r="83" spans="2:43" s="6" customFormat="1" ht="7.5" customHeight="1">
      <c r="B83" s="44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6"/>
    </row>
    <row r="87" ht="14.25" customHeight="1"/>
  </sheetData>
  <sheetProtection/>
  <mergeCells count="59">
    <mergeCell ref="AG76:AM76"/>
    <mergeCell ref="AN76:AP76"/>
    <mergeCell ref="AG77:AM77"/>
    <mergeCell ref="AN77:AP77"/>
    <mergeCell ref="AG82:AM82"/>
    <mergeCell ref="AN82:AP82"/>
    <mergeCell ref="AG79:AM79"/>
    <mergeCell ref="AN79:AP79"/>
    <mergeCell ref="AR2:BE2"/>
    <mergeCell ref="D80:AB80"/>
    <mergeCell ref="AG80:AM80"/>
    <mergeCell ref="AN80:AP80"/>
    <mergeCell ref="AG73:AM73"/>
    <mergeCell ref="AN73:AP73"/>
    <mergeCell ref="D78:AB78"/>
    <mergeCell ref="AG78:AM78"/>
    <mergeCell ref="AN78:AP78"/>
    <mergeCell ref="D79:AB79"/>
    <mergeCell ref="L64:AO64"/>
    <mergeCell ref="AM68:AP68"/>
    <mergeCell ref="AN74:AP74"/>
    <mergeCell ref="AG74:AM74"/>
    <mergeCell ref="X33:AB33"/>
    <mergeCell ref="AK33:AO33"/>
    <mergeCell ref="C62:AP62"/>
    <mergeCell ref="D74:H74"/>
    <mergeCell ref="J74:AF74"/>
    <mergeCell ref="AS68:AT70"/>
    <mergeCell ref="AM69:AP69"/>
    <mergeCell ref="C71:G71"/>
    <mergeCell ref="I71:AF71"/>
    <mergeCell ref="AG71:AM71"/>
    <mergeCell ref="AN71:AP71"/>
    <mergeCell ref="L29:O29"/>
    <mergeCell ref="W29:AE29"/>
    <mergeCell ref="AK29:AO29"/>
    <mergeCell ref="L30:O30"/>
    <mergeCell ref="W30:AE30"/>
    <mergeCell ref="AK30:AO30"/>
    <mergeCell ref="AK25:AO25"/>
    <mergeCell ref="L31:O31"/>
    <mergeCell ref="W31:AE31"/>
    <mergeCell ref="AK31:AO31"/>
    <mergeCell ref="L27:O27"/>
    <mergeCell ref="W27:AE27"/>
    <mergeCell ref="AK27:AO27"/>
    <mergeCell ref="L28:O28"/>
    <mergeCell ref="W28:AE28"/>
    <mergeCell ref="AK28:AO28"/>
    <mergeCell ref="E11:AJ11"/>
    <mergeCell ref="C2:AP2"/>
    <mergeCell ref="C4:AP4"/>
    <mergeCell ref="BE5:BE30"/>
    <mergeCell ref="K5:AO5"/>
    <mergeCell ref="K6:AO6"/>
    <mergeCell ref="E14:AJ14"/>
    <mergeCell ref="E19:AN19"/>
    <mergeCell ref="AK22:AO22"/>
    <mergeCell ref="AK23:AO23"/>
  </mergeCells>
  <dataValidations count="2">
    <dataValidation type="list" allowBlank="1" showInputMessage="1" showErrorMessage="1" error="Povoleny jsou hodnoty základní, snížená, zákl. přenesená, sníž. přenesená, nulová." sqref="AU77:AU81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77:AT81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74" location="'01 - Stavební práce'!C2" tooltip="01 - Stavební práce" display="/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/>
  <headerFooter alignWithMargins="0"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2"/>
  <sheetViews>
    <sheetView showGridLines="0" tabSelected="1" zoomScale="150" zoomScaleNormal="150" zoomScalePageLayoutView="0" workbookViewId="0" topLeftCell="A1">
      <pane ySplit="1" topLeftCell="A174" activePane="bottomLeft" state="frozen"/>
      <selection pane="topLeft" activeCell="A1" sqref="A1"/>
      <selection pane="bottomLeft" activeCell="AD177" sqref="AD177"/>
    </sheetView>
  </sheetViews>
  <sheetFormatPr defaultColWidth="10.5" defaultRowHeight="14.25" customHeight="1"/>
  <cols>
    <col min="1" max="1" width="8.16015625" style="2" customWidth="1"/>
    <col min="2" max="2" width="1.66796875" style="2" customWidth="1"/>
    <col min="3" max="4" width="4.160156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3" width="9" style="2" bestFit="1" customWidth="1"/>
    <col min="14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16015625" style="2" hidden="1" customWidth="1"/>
    <col min="22" max="22" width="12.16015625" style="2" hidden="1" customWidth="1"/>
    <col min="23" max="23" width="16.160156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16015625" style="2" hidden="1" customWidth="1"/>
    <col min="29" max="29" width="11" style="2" customWidth="1"/>
    <col min="30" max="30" width="15" style="2" customWidth="1"/>
    <col min="31" max="31" width="16.160156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49"/>
      <c r="B1" s="146"/>
      <c r="C1" s="146"/>
      <c r="D1" s="147" t="s">
        <v>1</v>
      </c>
      <c r="E1" s="146"/>
      <c r="F1" s="148" t="s">
        <v>149</v>
      </c>
      <c r="G1" s="148"/>
      <c r="H1" s="281" t="s">
        <v>150</v>
      </c>
      <c r="I1" s="281"/>
      <c r="J1" s="281"/>
      <c r="K1" s="281"/>
      <c r="L1" s="148" t="s">
        <v>151</v>
      </c>
      <c r="M1" s="146"/>
      <c r="N1" s="146"/>
      <c r="O1" s="147" t="s">
        <v>83</v>
      </c>
      <c r="P1" s="146"/>
      <c r="Q1" s="146"/>
      <c r="R1" s="146"/>
      <c r="S1" s="148" t="s">
        <v>152</v>
      </c>
      <c r="T1" s="148"/>
      <c r="U1" s="149"/>
      <c r="V1" s="14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92" t="s">
        <v>4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S2" s="221" t="s">
        <v>5</v>
      </c>
      <c r="T2" s="193"/>
      <c r="U2" s="193"/>
      <c r="V2" s="193"/>
      <c r="W2" s="193"/>
      <c r="X2" s="193"/>
      <c r="Y2" s="193"/>
      <c r="Z2" s="193"/>
      <c r="AA2" s="193"/>
      <c r="AB2" s="193"/>
      <c r="AC2" s="193"/>
      <c r="AT2" s="2" t="s">
        <v>74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84</v>
      </c>
    </row>
    <row r="4" spans="2:46" s="2" customFormat="1" ht="37.5" customHeight="1">
      <c r="B4" s="10"/>
      <c r="C4" s="194" t="s">
        <v>85</v>
      </c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7" t="s">
        <v>15</v>
      </c>
      <c r="F6" s="252"/>
      <c r="G6" s="193"/>
      <c r="H6" s="193"/>
      <c r="I6" s="193"/>
      <c r="J6" s="193"/>
      <c r="K6" s="193"/>
      <c r="L6" s="193"/>
      <c r="M6" s="193"/>
      <c r="N6" s="193"/>
      <c r="O6" s="193"/>
      <c r="P6" s="193"/>
      <c r="R6" s="11"/>
    </row>
    <row r="7" spans="2:18" s="6" customFormat="1" ht="33.75" customHeight="1">
      <c r="B7" s="22"/>
      <c r="D7" s="16" t="s">
        <v>86</v>
      </c>
      <c r="F7" s="199" t="s">
        <v>87</v>
      </c>
      <c r="G7" s="196"/>
      <c r="H7" s="196"/>
      <c r="I7" s="196"/>
      <c r="J7" s="196"/>
      <c r="K7" s="196"/>
      <c r="L7" s="196"/>
      <c r="M7" s="196"/>
      <c r="N7" s="196"/>
      <c r="O7" s="196"/>
      <c r="P7" s="196"/>
      <c r="R7" s="23"/>
    </row>
    <row r="8" spans="2:18" s="6" customFormat="1" ht="15" customHeight="1">
      <c r="B8" s="22"/>
      <c r="D8" s="17" t="s">
        <v>17</v>
      </c>
      <c r="F8" s="15"/>
      <c r="M8" s="17" t="s">
        <v>18</v>
      </c>
      <c r="O8" s="15"/>
      <c r="R8" s="23"/>
    </row>
    <row r="9" spans="2:18" s="6" customFormat="1" ht="15" customHeight="1">
      <c r="B9" s="22"/>
      <c r="D9" s="17" t="s">
        <v>20</v>
      </c>
      <c r="F9" s="15"/>
      <c r="M9" s="17" t="s">
        <v>21</v>
      </c>
      <c r="O9" s="253"/>
      <c r="P9" s="196"/>
      <c r="R9" s="23"/>
    </row>
    <row r="10" spans="2:18" s="6" customFormat="1" ht="13.5">
      <c r="B10" s="22"/>
      <c r="R10" s="23"/>
    </row>
    <row r="11" spans="2:18" s="6" customFormat="1" ht="15" customHeight="1">
      <c r="B11" s="22"/>
      <c r="D11" s="17" t="s">
        <v>24</v>
      </c>
      <c r="M11" s="17" t="s">
        <v>25</v>
      </c>
      <c r="O11" s="198">
        <f>IF('Rekapitulace stavby'!$AN$10="","",'Rekapitulace stavby'!$AN$10)</f>
      </c>
      <c r="P11" s="196"/>
      <c r="R11" s="23"/>
    </row>
    <row r="12" spans="2:18" s="6" customFormat="1" ht="15">
      <c r="B12" s="22"/>
      <c r="E12" s="15">
        <f>IF('Rekapitulace stavby'!$E$11="","",'Rekapitulace stavby'!$E$11)</f>
      </c>
      <c r="M12" s="17" t="s">
        <v>26</v>
      </c>
      <c r="O12" s="198">
        <f>IF('Rekapitulace stavby'!$AN$11="","",'Rekapitulace stavby'!$AN$11)</f>
      </c>
      <c r="P12" s="196"/>
      <c r="R12" s="23"/>
    </row>
    <row r="13" spans="2:18" s="6" customFormat="1" ht="13.5">
      <c r="B13" s="22"/>
      <c r="R13" s="23"/>
    </row>
    <row r="14" spans="2:18" s="6" customFormat="1" ht="15" customHeight="1">
      <c r="B14" s="22"/>
      <c r="D14" s="17" t="s">
        <v>27</v>
      </c>
      <c r="M14" s="17" t="s">
        <v>25</v>
      </c>
      <c r="O14" s="255">
        <f>IF('Rekapitulace stavby'!$AN$13="","",'Rekapitulace stavby'!$AN$13)</f>
      </c>
      <c r="P14" s="196"/>
      <c r="R14" s="23"/>
    </row>
    <row r="15" spans="2:18" s="6" customFormat="1" ht="18.75" customHeight="1">
      <c r="B15" s="22"/>
      <c r="E15" s="255">
        <f>IF('Rekapitulace stavby'!$E$14="","",'Rekapitulace stavby'!$E$14)</f>
      </c>
      <c r="F15" s="196"/>
      <c r="G15" s="196"/>
      <c r="H15" s="196"/>
      <c r="I15" s="196"/>
      <c r="J15" s="196"/>
      <c r="K15" s="196"/>
      <c r="L15" s="196"/>
      <c r="M15" s="17" t="s">
        <v>26</v>
      </c>
      <c r="O15" s="255">
        <f>IF('Rekapitulace stavby'!$AN$14="","",'Rekapitulace stavby'!$AN$14)</f>
      </c>
      <c r="P15" s="196"/>
      <c r="R15" s="23"/>
    </row>
    <row r="16" spans="2:18" s="6" customFormat="1" ht="13.5">
      <c r="B16" s="22"/>
      <c r="R16" s="23"/>
    </row>
    <row r="17" spans="2:18" s="6" customFormat="1" ht="15" customHeight="1">
      <c r="B17" s="22"/>
      <c r="D17" s="17" t="s">
        <v>28</v>
      </c>
      <c r="M17" s="17"/>
      <c r="O17" s="198"/>
      <c r="P17" s="196"/>
      <c r="R17" s="23"/>
    </row>
    <row r="18" spans="2:18" s="6" customFormat="1" ht="18.75" customHeight="1">
      <c r="B18" s="22"/>
      <c r="E18" s="15"/>
      <c r="M18" s="17"/>
      <c r="O18" s="198"/>
      <c r="P18" s="196"/>
      <c r="R18" s="23"/>
    </row>
    <row r="19" spans="2:18" s="6" customFormat="1" ht="7.5" customHeight="1">
      <c r="B19" s="22"/>
      <c r="R19" s="23"/>
    </row>
    <row r="20" spans="2:18" s="6" customFormat="1" ht="15" customHeight="1">
      <c r="B20" s="22"/>
      <c r="D20" s="17" t="s">
        <v>29</v>
      </c>
      <c r="R20" s="23"/>
    </row>
    <row r="21" spans="2:18" s="90" customFormat="1" ht="15.75" customHeight="1">
      <c r="B21" s="91"/>
      <c r="E21" s="201"/>
      <c r="F21" s="254"/>
      <c r="G21" s="254"/>
      <c r="H21" s="254"/>
      <c r="I21" s="254"/>
      <c r="J21" s="254"/>
      <c r="K21" s="254"/>
      <c r="L21" s="254"/>
      <c r="R21" s="92"/>
    </row>
    <row r="22" spans="2:18" s="6" customFormat="1" ht="7.5" customHeight="1">
      <c r="B22" s="22"/>
      <c r="R22" s="23"/>
    </row>
    <row r="23" spans="2:18" s="6" customFormat="1" ht="7.5" customHeight="1">
      <c r="B23" s="22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R23" s="23"/>
    </row>
    <row r="24" spans="2:18" s="6" customFormat="1" ht="15" customHeight="1">
      <c r="B24" s="22"/>
      <c r="D24" s="93" t="s">
        <v>88</v>
      </c>
      <c r="M24" s="202">
        <f>$N$75</f>
        <v>0</v>
      </c>
      <c r="N24" s="196"/>
      <c r="O24" s="196"/>
      <c r="P24" s="196"/>
      <c r="R24" s="23"/>
    </row>
    <row r="25" spans="2:18" s="6" customFormat="1" ht="15" customHeight="1">
      <c r="B25" s="22"/>
      <c r="D25" s="21" t="s">
        <v>78</v>
      </c>
      <c r="M25" s="202">
        <f>$N$82</f>
        <v>0</v>
      </c>
      <c r="N25" s="196"/>
      <c r="O25" s="196"/>
      <c r="P25" s="196"/>
      <c r="R25" s="23"/>
    </row>
    <row r="26" spans="2:18" s="6" customFormat="1" ht="7.5" customHeight="1">
      <c r="B26" s="22"/>
      <c r="R26" s="23"/>
    </row>
    <row r="27" spans="2:18" s="6" customFormat="1" ht="26.25" customHeight="1">
      <c r="B27" s="22"/>
      <c r="D27" s="94" t="s">
        <v>32</v>
      </c>
      <c r="M27" s="251">
        <f>ROUND($M$24+$M$25,2)</f>
        <v>0</v>
      </c>
      <c r="N27" s="196"/>
      <c r="O27" s="196"/>
      <c r="P27" s="196"/>
      <c r="R27" s="23"/>
    </row>
    <row r="28" spans="2:18" s="6" customFormat="1" ht="7.5" customHeight="1">
      <c r="B28" s="22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R28" s="23"/>
    </row>
    <row r="29" spans="2:18" s="6" customFormat="1" ht="15" customHeight="1">
      <c r="B29" s="22"/>
      <c r="D29" s="27" t="s">
        <v>33</v>
      </c>
      <c r="E29" s="27" t="s">
        <v>34</v>
      </c>
      <c r="F29" s="28">
        <v>0.21</v>
      </c>
      <c r="G29" s="95" t="s">
        <v>35</v>
      </c>
      <c r="H29" s="249">
        <f>ROUND(M27,2)</f>
        <v>0</v>
      </c>
      <c r="I29" s="196"/>
      <c r="J29" s="196"/>
      <c r="M29" s="249">
        <f>H29*0.21</f>
        <v>0</v>
      </c>
      <c r="N29" s="196"/>
      <c r="O29" s="196"/>
      <c r="P29" s="196"/>
      <c r="R29" s="23"/>
    </row>
    <row r="30" spans="2:18" s="6" customFormat="1" ht="15" customHeight="1">
      <c r="B30" s="22"/>
      <c r="E30" s="27" t="s">
        <v>36</v>
      </c>
      <c r="F30" s="28">
        <v>0.15</v>
      </c>
      <c r="G30" s="95" t="s">
        <v>35</v>
      </c>
      <c r="H30" s="249">
        <f>ROUND((((SUM($BF$82:$BF$93)+SUM($BF$111:$BF$170))+SUM($BF$178:$BF$181))),2)</f>
        <v>0</v>
      </c>
      <c r="I30" s="196"/>
      <c r="J30" s="196"/>
      <c r="M30" s="249">
        <f>ROUND(((ROUND((SUM($BF$82:$BF$93)+SUM($BF$111:$BF$170)),2)*$F$30)+SUM($BF$178:$BF$181)*$F$30),2)</f>
        <v>0</v>
      </c>
      <c r="N30" s="196"/>
      <c r="O30" s="196"/>
      <c r="P30" s="196"/>
      <c r="R30" s="23"/>
    </row>
    <row r="31" spans="2:18" s="6" customFormat="1" ht="15" customHeight="1" hidden="1">
      <c r="B31" s="22"/>
      <c r="E31" s="27" t="s">
        <v>37</v>
      </c>
      <c r="F31" s="28">
        <v>0.21</v>
      </c>
      <c r="G31" s="95" t="s">
        <v>35</v>
      </c>
      <c r="H31" s="249">
        <f>ROUND((((SUM($BG$82:$BG$93)+SUM($BG$111:$BG$170))+SUM($BG$178:$BG$181))),2)</f>
        <v>0</v>
      </c>
      <c r="I31" s="196"/>
      <c r="J31" s="196"/>
      <c r="M31" s="249">
        <v>0</v>
      </c>
      <c r="N31" s="196"/>
      <c r="O31" s="196"/>
      <c r="P31" s="196"/>
      <c r="R31" s="23"/>
    </row>
    <row r="32" spans="2:18" s="6" customFormat="1" ht="15" customHeight="1" hidden="1">
      <c r="B32" s="22"/>
      <c r="E32" s="27" t="s">
        <v>38</v>
      </c>
      <c r="F32" s="28">
        <v>0.15</v>
      </c>
      <c r="G32" s="95" t="s">
        <v>35</v>
      </c>
      <c r="H32" s="249">
        <f>ROUND((((SUM($BH$82:$BH$93)+SUM($BH$111:$BH$170))+SUM($BH$178:$BH$181))),2)</f>
        <v>0</v>
      </c>
      <c r="I32" s="196"/>
      <c r="J32" s="196"/>
      <c r="M32" s="249">
        <v>0</v>
      </c>
      <c r="N32" s="196"/>
      <c r="O32" s="196"/>
      <c r="P32" s="196"/>
      <c r="R32" s="23"/>
    </row>
    <row r="33" spans="2:18" s="6" customFormat="1" ht="15" customHeight="1" hidden="1">
      <c r="B33" s="22"/>
      <c r="E33" s="27" t="s">
        <v>39</v>
      </c>
      <c r="F33" s="28">
        <v>0</v>
      </c>
      <c r="G33" s="95" t="s">
        <v>35</v>
      </c>
      <c r="H33" s="249">
        <f>ROUND((((SUM($BI$82:$BI$93)+SUM($BI$111:$BI$170))+SUM($BI$178:$BI$181))),2)</f>
        <v>0</v>
      </c>
      <c r="I33" s="196"/>
      <c r="J33" s="196"/>
      <c r="M33" s="249">
        <v>0</v>
      </c>
      <c r="N33" s="196"/>
      <c r="O33" s="196"/>
      <c r="P33" s="196"/>
      <c r="R33" s="23"/>
    </row>
    <row r="34" spans="2:18" s="6" customFormat="1" ht="7.5" customHeight="1">
      <c r="B34" s="22"/>
      <c r="R34" s="23"/>
    </row>
    <row r="35" spans="2:18" s="6" customFormat="1" ht="26.25" customHeight="1">
      <c r="B35" s="22"/>
      <c r="C35" s="31"/>
      <c r="D35" s="32" t="s">
        <v>40</v>
      </c>
      <c r="E35" s="33"/>
      <c r="F35" s="33"/>
      <c r="G35" s="96" t="s">
        <v>41</v>
      </c>
      <c r="H35" s="34" t="s">
        <v>42</v>
      </c>
      <c r="I35" s="33"/>
      <c r="J35" s="33"/>
      <c r="K35" s="33"/>
      <c r="L35" s="218">
        <f>SUM($M$27:$M$33)</f>
        <v>0</v>
      </c>
      <c r="M35" s="211"/>
      <c r="N35" s="211"/>
      <c r="O35" s="211"/>
      <c r="P35" s="213"/>
      <c r="Q35" s="31"/>
      <c r="R35" s="23"/>
    </row>
    <row r="36" spans="2:18" s="6" customFormat="1" ht="15" customHeight="1">
      <c r="B36" s="22"/>
      <c r="R36" s="23"/>
    </row>
    <row r="37" spans="2:18" s="6" customFormat="1" ht="15" customHeight="1">
      <c r="B37" s="22"/>
      <c r="R37" s="23"/>
    </row>
    <row r="38" spans="2:18" ht="14.25" customHeight="1">
      <c r="B38" s="10"/>
      <c r="R38" s="11"/>
    </row>
    <row r="39" spans="2:18" ht="14.25" customHeight="1">
      <c r="B39" s="10"/>
      <c r="R39" s="11"/>
    </row>
    <row r="40" spans="2:18" ht="14.25" customHeight="1">
      <c r="B40" s="10"/>
      <c r="R40" s="11"/>
    </row>
    <row r="41" spans="2:18" ht="14.25" customHeight="1">
      <c r="B41" s="10"/>
      <c r="R41" s="11"/>
    </row>
    <row r="42" spans="2:18" ht="14.25" customHeight="1">
      <c r="B42" s="10"/>
      <c r="R42" s="11"/>
    </row>
    <row r="43" spans="2:18" ht="14.25" customHeight="1">
      <c r="B43" s="10"/>
      <c r="R43" s="11"/>
    </row>
    <row r="44" spans="2:18" ht="14.25" customHeight="1">
      <c r="B44" s="10"/>
      <c r="R44" s="11"/>
    </row>
    <row r="45" spans="2:18" ht="14.25" customHeight="1">
      <c r="B45" s="10"/>
      <c r="R45" s="11"/>
    </row>
    <row r="46" spans="2:18" ht="14.25" customHeight="1">
      <c r="B46" s="10"/>
      <c r="R46" s="11"/>
    </row>
    <row r="47" spans="2:18" ht="14.25" customHeight="1">
      <c r="B47" s="10"/>
      <c r="R47" s="11"/>
    </row>
    <row r="48" spans="2:18" s="6" customFormat="1" ht="15.75" customHeight="1">
      <c r="B48" s="22"/>
      <c r="D48" s="35" t="s">
        <v>45</v>
      </c>
      <c r="E48" s="36"/>
      <c r="F48" s="36"/>
      <c r="G48" s="36"/>
      <c r="H48" s="37"/>
      <c r="J48" s="35" t="s">
        <v>46</v>
      </c>
      <c r="K48" s="36"/>
      <c r="L48" s="36"/>
      <c r="M48" s="36"/>
      <c r="N48" s="36"/>
      <c r="O48" s="36"/>
      <c r="P48" s="37"/>
      <c r="R48" s="23"/>
    </row>
    <row r="49" spans="2:18" ht="14.25" customHeight="1">
      <c r="B49" s="10"/>
      <c r="D49" s="38"/>
      <c r="H49" s="39"/>
      <c r="J49" s="38"/>
      <c r="P49" s="39"/>
      <c r="R49" s="11"/>
    </row>
    <row r="50" spans="2:18" ht="14.25" customHeight="1">
      <c r="B50" s="10"/>
      <c r="D50" s="38"/>
      <c r="H50" s="39"/>
      <c r="J50" s="38"/>
      <c r="P50" s="39"/>
      <c r="R50" s="11"/>
    </row>
    <row r="51" spans="2:18" ht="14.25" customHeight="1">
      <c r="B51" s="10"/>
      <c r="D51" s="38"/>
      <c r="H51" s="39"/>
      <c r="J51" s="38"/>
      <c r="P51" s="39"/>
      <c r="R51" s="11"/>
    </row>
    <row r="52" spans="2:18" ht="14.25" customHeight="1">
      <c r="B52" s="10"/>
      <c r="D52" s="38"/>
      <c r="H52" s="39"/>
      <c r="J52" s="38"/>
      <c r="P52" s="39"/>
      <c r="R52" s="11"/>
    </row>
    <row r="53" spans="2:18" ht="14.25" customHeight="1">
      <c r="B53" s="10"/>
      <c r="D53" s="38"/>
      <c r="H53" s="39"/>
      <c r="J53" s="38"/>
      <c r="P53" s="39"/>
      <c r="R53" s="11"/>
    </row>
    <row r="54" spans="2:18" ht="14.25" customHeight="1">
      <c r="B54" s="10"/>
      <c r="D54" s="38"/>
      <c r="H54" s="39"/>
      <c r="J54" s="38"/>
      <c r="P54" s="39"/>
      <c r="R54" s="11"/>
    </row>
    <row r="55" spans="2:18" ht="14.25" customHeight="1">
      <c r="B55" s="10"/>
      <c r="D55" s="38"/>
      <c r="H55" s="39"/>
      <c r="J55" s="38"/>
      <c r="P55" s="39"/>
      <c r="R55" s="11"/>
    </row>
    <row r="56" spans="2:18" ht="14.25" customHeight="1">
      <c r="B56" s="10"/>
      <c r="D56" s="38"/>
      <c r="H56" s="39"/>
      <c r="J56" s="38"/>
      <c r="P56" s="39"/>
      <c r="R56" s="11"/>
    </row>
    <row r="57" spans="2:18" s="6" customFormat="1" ht="15.75" customHeight="1">
      <c r="B57" s="22"/>
      <c r="D57" s="40" t="s">
        <v>43</v>
      </c>
      <c r="E57" s="41"/>
      <c r="F57" s="41"/>
      <c r="G57" s="42" t="s">
        <v>44</v>
      </c>
      <c r="H57" s="43"/>
      <c r="J57" s="40" t="s">
        <v>43</v>
      </c>
      <c r="K57" s="41"/>
      <c r="L57" s="41"/>
      <c r="M57" s="41"/>
      <c r="N57" s="42" t="s">
        <v>44</v>
      </c>
      <c r="O57" s="41"/>
      <c r="P57" s="43"/>
      <c r="R57" s="23"/>
    </row>
    <row r="58" spans="2:18" s="6" customFormat="1" ht="15" customHeight="1">
      <c r="B58" s="44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6"/>
    </row>
    <row r="62" spans="2:18" s="6" customFormat="1" ht="7.5" customHeight="1">
      <c r="B62" s="47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9"/>
    </row>
    <row r="63" spans="2:18" s="6" customFormat="1" ht="37.5" customHeight="1">
      <c r="B63" s="22"/>
      <c r="C63" s="194" t="s">
        <v>89</v>
      </c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23"/>
    </row>
    <row r="64" spans="2:18" s="6" customFormat="1" ht="7.5" customHeight="1">
      <c r="B64" s="22"/>
      <c r="R64" s="23"/>
    </row>
    <row r="65" spans="2:18" s="6" customFormat="1" ht="30.75" customHeight="1">
      <c r="B65" s="22"/>
      <c r="C65" s="17" t="s">
        <v>15</v>
      </c>
      <c r="F65" s="252">
        <f>$F$6</f>
        <v>0</v>
      </c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R65" s="23"/>
    </row>
    <row r="66" spans="2:18" s="6" customFormat="1" ht="37.5" customHeight="1">
      <c r="B66" s="22"/>
      <c r="C66" s="52" t="s">
        <v>86</v>
      </c>
      <c r="F66" s="214" t="str">
        <f>$F$7</f>
        <v>01 - Stavební práce</v>
      </c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R66" s="23"/>
    </row>
    <row r="67" spans="2:18" s="6" customFormat="1" ht="7.5" customHeight="1">
      <c r="B67" s="22"/>
      <c r="R67" s="23"/>
    </row>
    <row r="68" spans="2:18" s="6" customFormat="1" ht="18.75" customHeight="1">
      <c r="B68" s="22"/>
      <c r="C68" s="17" t="s">
        <v>20</v>
      </c>
      <c r="F68" s="15"/>
      <c r="K68" s="17" t="s">
        <v>21</v>
      </c>
      <c r="M68" s="256">
        <f>IF($O$9="","",$O$9)</f>
      </c>
      <c r="N68" s="196"/>
      <c r="O68" s="196"/>
      <c r="P68" s="196"/>
      <c r="R68" s="23"/>
    </row>
    <row r="69" spans="2:18" s="6" customFormat="1" ht="7.5" customHeight="1">
      <c r="B69" s="22"/>
      <c r="R69" s="23"/>
    </row>
    <row r="70" spans="2:18" s="6" customFormat="1" ht="15.75" customHeight="1">
      <c r="B70" s="22"/>
      <c r="C70" s="17" t="s">
        <v>24</v>
      </c>
      <c r="F70" s="15">
        <f>$E$12</f>
      </c>
      <c r="K70" s="17"/>
      <c r="M70" s="198"/>
      <c r="N70" s="196"/>
      <c r="O70" s="196"/>
      <c r="P70" s="196"/>
      <c r="Q70" s="196"/>
      <c r="R70" s="23"/>
    </row>
    <row r="71" spans="2:18" s="6" customFormat="1" ht="15" customHeight="1">
      <c r="B71" s="22"/>
      <c r="C71" s="17" t="s">
        <v>27</v>
      </c>
      <c r="F71" s="15">
        <f>IF($E$15="","",$E$15)</f>
      </c>
      <c r="K71" s="17" t="s">
        <v>28</v>
      </c>
      <c r="M71" s="198">
        <f>$E$18</f>
        <v>0</v>
      </c>
      <c r="N71" s="196"/>
      <c r="O71" s="196"/>
      <c r="P71" s="196"/>
      <c r="Q71" s="196"/>
      <c r="R71" s="23"/>
    </row>
    <row r="72" spans="2:18" s="6" customFormat="1" ht="11.25" customHeight="1">
      <c r="B72" s="22"/>
      <c r="R72" s="23"/>
    </row>
    <row r="73" spans="2:18" s="6" customFormat="1" ht="30" customHeight="1">
      <c r="B73" s="22"/>
      <c r="C73" s="250" t="s">
        <v>90</v>
      </c>
      <c r="D73" s="228"/>
      <c r="E73" s="228"/>
      <c r="F73" s="228"/>
      <c r="G73" s="228"/>
      <c r="H73" s="31"/>
      <c r="I73" s="31"/>
      <c r="J73" s="31"/>
      <c r="K73" s="31"/>
      <c r="L73" s="31"/>
      <c r="M73" s="31"/>
      <c r="N73" s="250" t="s">
        <v>91</v>
      </c>
      <c r="O73" s="196"/>
      <c r="P73" s="196"/>
      <c r="Q73" s="196"/>
      <c r="R73" s="23"/>
    </row>
    <row r="74" spans="2:18" s="6" customFormat="1" ht="11.25" customHeight="1">
      <c r="B74" s="22"/>
      <c r="R74" s="23"/>
    </row>
    <row r="75" spans="2:47" s="6" customFormat="1" ht="30" customHeight="1">
      <c r="B75" s="22"/>
      <c r="C75" s="64" t="s">
        <v>92</v>
      </c>
      <c r="N75" s="225">
        <f>$N$111</f>
        <v>0</v>
      </c>
      <c r="O75" s="196"/>
      <c r="P75" s="196"/>
      <c r="Q75" s="196"/>
      <c r="R75" s="23"/>
      <c r="AU75" s="6" t="s">
        <v>93</v>
      </c>
    </row>
    <row r="76" spans="2:18" s="69" customFormat="1" ht="25.5" customHeight="1">
      <c r="B76" s="97"/>
      <c r="D76" s="98" t="s">
        <v>94</v>
      </c>
      <c r="N76" s="257">
        <f>$N$112</f>
        <v>0</v>
      </c>
      <c r="O76" s="258"/>
      <c r="P76" s="258"/>
      <c r="Q76" s="258"/>
      <c r="R76" s="99"/>
    </row>
    <row r="77" spans="2:18" s="93" customFormat="1" ht="21" customHeight="1">
      <c r="B77" s="100"/>
      <c r="D77" s="78" t="s">
        <v>95</v>
      </c>
      <c r="N77" s="224">
        <f>$N$113</f>
        <v>0</v>
      </c>
      <c r="O77" s="258"/>
      <c r="P77" s="258"/>
      <c r="Q77" s="258"/>
      <c r="R77" s="101"/>
    </row>
    <row r="78" spans="2:18" s="93" customFormat="1" ht="21" customHeight="1">
      <c r="B78" s="100"/>
      <c r="D78" s="78" t="s">
        <v>96</v>
      </c>
      <c r="N78" s="224">
        <f>$N$135</f>
        <v>0</v>
      </c>
      <c r="O78" s="258"/>
      <c r="P78" s="258"/>
      <c r="Q78" s="258"/>
      <c r="R78" s="101"/>
    </row>
    <row r="79" spans="2:18" s="93" customFormat="1" ht="21" customHeight="1">
      <c r="B79" s="100"/>
      <c r="D79" s="78" t="s">
        <v>97</v>
      </c>
      <c r="N79" s="224">
        <f>$N$152</f>
        <v>0</v>
      </c>
      <c r="O79" s="258"/>
      <c r="P79" s="258"/>
      <c r="Q79" s="258"/>
      <c r="R79" s="101"/>
    </row>
    <row r="80" spans="2:18" s="69" customFormat="1" ht="22.5" customHeight="1">
      <c r="B80" s="97"/>
      <c r="D80" s="98" t="s">
        <v>98</v>
      </c>
      <c r="N80" s="261">
        <f>$N$177</f>
        <v>0</v>
      </c>
      <c r="O80" s="258"/>
      <c r="P80" s="258"/>
      <c r="Q80" s="258"/>
      <c r="R80" s="99"/>
    </row>
    <row r="81" spans="2:18" s="6" customFormat="1" ht="22.5" customHeight="1">
      <c r="B81" s="22"/>
      <c r="R81" s="23"/>
    </row>
    <row r="82" spans="2:21" s="6" customFormat="1" ht="30" customHeight="1">
      <c r="B82" s="22"/>
      <c r="C82" s="64" t="s">
        <v>99</v>
      </c>
      <c r="N82" s="225">
        <f>ROUND($N$83+$N$85+$N$87+$N$89+$N$91,2)</f>
        <v>0</v>
      </c>
      <c r="O82" s="196"/>
      <c r="P82" s="196"/>
      <c r="Q82" s="196"/>
      <c r="R82" s="23"/>
      <c r="T82" s="102"/>
      <c r="U82" s="103" t="s">
        <v>33</v>
      </c>
    </row>
    <row r="83" spans="2:62" s="6" customFormat="1" ht="18.75" customHeight="1">
      <c r="B83" s="22"/>
      <c r="D83" s="259" t="s">
        <v>227</v>
      </c>
      <c r="E83" s="260"/>
      <c r="F83" s="260"/>
      <c r="G83" s="260"/>
      <c r="H83" s="165"/>
      <c r="I83" s="166"/>
      <c r="J83" s="166"/>
      <c r="K83" s="166"/>
      <c r="L83" s="166"/>
      <c r="M83" s="166"/>
      <c r="N83" s="262"/>
      <c r="O83" s="263"/>
      <c r="P83" s="263"/>
      <c r="Q83" s="264"/>
      <c r="R83" s="23"/>
      <c r="T83" s="104"/>
      <c r="U83" s="105" t="s">
        <v>34</v>
      </c>
      <c r="AY83" s="6" t="s">
        <v>100</v>
      </c>
      <c r="BE83" s="82">
        <f>IF($U$83="základní",$N$83,0)</f>
        <v>0</v>
      </c>
      <c r="BF83" s="82">
        <f>IF($U$83="snížená",$N$83,0)</f>
        <v>0</v>
      </c>
      <c r="BG83" s="82">
        <f>IF($U$83="zákl. přenesená",$N$83,0)</f>
        <v>0</v>
      </c>
      <c r="BH83" s="82">
        <f>IF($U$83="sníž. přenesená",$N$83,0)</f>
        <v>0</v>
      </c>
      <c r="BI83" s="82">
        <f>IF($U$83="nulová",$N$83,0)</f>
        <v>0</v>
      </c>
      <c r="BJ83" s="6" t="s">
        <v>19</v>
      </c>
    </row>
    <row r="84" spans="2:61" s="6" customFormat="1" ht="25.5" customHeight="1">
      <c r="B84" s="22"/>
      <c r="D84" s="265" t="s">
        <v>228</v>
      </c>
      <c r="E84" s="265"/>
      <c r="F84" s="265"/>
      <c r="G84" s="265"/>
      <c r="H84" s="265"/>
      <c r="I84" s="265"/>
      <c r="J84" s="265"/>
      <c r="K84" s="265"/>
      <c r="L84" s="265"/>
      <c r="M84" s="265"/>
      <c r="N84" s="265"/>
      <c r="O84" s="265"/>
      <c r="P84" s="265"/>
      <c r="Q84" s="265"/>
      <c r="R84" s="23"/>
      <c r="T84" s="104"/>
      <c r="U84" s="105"/>
      <c r="BE84" s="82"/>
      <c r="BF84" s="82"/>
      <c r="BG84" s="82"/>
      <c r="BH84" s="82"/>
      <c r="BI84" s="82"/>
    </row>
    <row r="85" spans="2:62" s="6" customFormat="1" ht="18.75" customHeight="1">
      <c r="B85" s="22"/>
      <c r="D85" s="259" t="s">
        <v>162</v>
      </c>
      <c r="E85" s="260"/>
      <c r="F85" s="260"/>
      <c r="G85" s="260"/>
      <c r="H85" s="165"/>
      <c r="I85" s="166"/>
      <c r="J85" s="166"/>
      <c r="K85" s="166"/>
      <c r="L85" s="166"/>
      <c r="M85" s="166"/>
      <c r="N85" s="262"/>
      <c r="O85" s="263"/>
      <c r="P85" s="263"/>
      <c r="Q85" s="264"/>
      <c r="R85" s="23"/>
      <c r="T85" s="104"/>
      <c r="U85" s="105" t="s">
        <v>34</v>
      </c>
      <c r="AY85" s="6" t="s">
        <v>100</v>
      </c>
      <c r="BE85" s="82">
        <f>IF($U$85="základní",$N$85,0)</f>
        <v>0</v>
      </c>
      <c r="BF85" s="82">
        <f>IF($U$85="snížená",$N$85,0)</f>
        <v>0</v>
      </c>
      <c r="BG85" s="82">
        <f>IF($U$85="zákl. přenesená",$N$85,0)</f>
        <v>0</v>
      </c>
      <c r="BH85" s="82">
        <f>IF($U$85="sníž. přenesená",$N$85,0)</f>
        <v>0</v>
      </c>
      <c r="BI85" s="82">
        <f>IF($U$85="nulová",$N$85,0)</f>
        <v>0</v>
      </c>
      <c r="BJ85" s="6" t="s">
        <v>19</v>
      </c>
    </row>
    <row r="86" spans="2:61" s="6" customFormat="1" ht="23.25" customHeight="1">
      <c r="B86" s="22"/>
      <c r="C86" s="6"/>
      <c r="D86" s="265" t="s">
        <v>163</v>
      </c>
      <c r="E86" s="265"/>
      <c r="F86" s="265"/>
      <c r="G86" s="265"/>
      <c r="H86" s="265"/>
      <c r="I86" s="265"/>
      <c r="J86" s="265"/>
      <c r="K86" s="265"/>
      <c r="L86" s="265"/>
      <c r="M86" s="265"/>
      <c r="N86" s="265"/>
      <c r="O86" s="265"/>
      <c r="P86" s="265"/>
      <c r="Q86" s="265"/>
      <c r="R86" s="23"/>
      <c r="T86" s="104"/>
      <c r="U86" s="105"/>
      <c r="BE86" s="82"/>
      <c r="BF86" s="82"/>
      <c r="BG86" s="82"/>
      <c r="BH86" s="82"/>
      <c r="BI86" s="82"/>
    </row>
    <row r="87" spans="2:62" s="6" customFormat="1" ht="18.75" customHeight="1">
      <c r="B87" s="22"/>
      <c r="D87" s="259" t="s">
        <v>164</v>
      </c>
      <c r="E87" s="260"/>
      <c r="F87" s="260"/>
      <c r="G87" s="260"/>
      <c r="H87" s="165"/>
      <c r="I87" s="166"/>
      <c r="J87" s="166"/>
      <c r="K87" s="166"/>
      <c r="L87" s="166"/>
      <c r="M87" s="166"/>
      <c r="N87" s="262"/>
      <c r="O87" s="263"/>
      <c r="P87" s="263"/>
      <c r="Q87" s="264"/>
      <c r="R87" s="23"/>
      <c r="T87" s="104"/>
      <c r="U87" s="105" t="s">
        <v>34</v>
      </c>
      <c r="AY87" s="6" t="s">
        <v>100</v>
      </c>
      <c r="BE87" s="82">
        <f>IF($U$87="základní",$N$87,0)</f>
        <v>0</v>
      </c>
      <c r="BF87" s="82">
        <f>IF($U$87="snížená",$N$87,0)</f>
        <v>0</v>
      </c>
      <c r="BG87" s="82">
        <f>IF($U$87="zákl. přenesená",$N$87,0)</f>
        <v>0</v>
      </c>
      <c r="BH87" s="82">
        <f>IF($U$87="sníž. přenesená",$N$87,0)</f>
        <v>0</v>
      </c>
      <c r="BI87" s="82">
        <f>IF($U$87="nulová",$N$87,0)</f>
        <v>0</v>
      </c>
      <c r="BJ87" s="6" t="s">
        <v>19</v>
      </c>
    </row>
    <row r="88" spans="2:61" s="6" customFormat="1" ht="25.5" customHeight="1">
      <c r="B88" s="22"/>
      <c r="D88" s="265" t="s">
        <v>165</v>
      </c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5"/>
      <c r="P88" s="265"/>
      <c r="Q88" s="265"/>
      <c r="R88" s="23"/>
      <c r="T88" s="104"/>
      <c r="U88" s="105"/>
      <c r="BE88" s="82"/>
      <c r="BF88" s="82"/>
      <c r="BG88" s="82"/>
      <c r="BH88" s="82"/>
      <c r="BI88" s="82"/>
    </row>
    <row r="89" spans="2:62" s="6" customFormat="1" ht="18.75" customHeight="1">
      <c r="B89" s="22"/>
      <c r="D89" s="259" t="s">
        <v>166</v>
      </c>
      <c r="E89" s="260"/>
      <c r="F89" s="260"/>
      <c r="G89" s="260"/>
      <c r="H89" s="165"/>
      <c r="I89" s="166"/>
      <c r="J89" s="166"/>
      <c r="K89" s="166"/>
      <c r="L89" s="166"/>
      <c r="M89" s="166"/>
      <c r="N89" s="262"/>
      <c r="O89" s="263"/>
      <c r="P89" s="263"/>
      <c r="Q89" s="264"/>
      <c r="R89" s="23"/>
      <c r="T89" s="104"/>
      <c r="U89" s="105" t="s">
        <v>34</v>
      </c>
      <c r="AY89" s="6" t="s">
        <v>100</v>
      </c>
      <c r="BE89" s="82">
        <f>IF($U$89="základní",$N$89,0)</f>
        <v>0</v>
      </c>
      <c r="BF89" s="82">
        <f>IF($U$89="snížená",$N$89,0)</f>
        <v>0</v>
      </c>
      <c r="BG89" s="82">
        <f>IF($U$89="zákl. přenesená",$N$89,0)</f>
        <v>0</v>
      </c>
      <c r="BH89" s="82">
        <f>IF($U$89="sníž. přenesená",$N$89,0)</f>
        <v>0</v>
      </c>
      <c r="BI89" s="82">
        <f>IF($U$89="nulová",$N$89,0)</f>
        <v>0</v>
      </c>
      <c r="BJ89" s="6" t="s">
        <v>19</v>
      </c>
    </row>
    <row r="90" spans="2:61" s="6" customFormat="1" ht="25.5" customHeight="1">
      <c r="B90" s="22"/>
      <c r="D90" s="265" t="s">
        <v>167</v>
      </c>
      <c r="E90" s="265"/>
      <c r="F90" s="265"/>
      <c r="G90" s="265"/>
      <c r="H90" s="265"/>
      <c r="I90" s="265"/>
      <c r="J90" s="265"/>
      <c r="K90" s="265"/>
      <c r="L90" s="265"/>
      <c r="M90" s="265"/>
      <c r="N90" s="265"/>
      <c r="O90" s="265"/>
      <c r="P90" s="265"/>
      <c r="Q90" s="265"/>
      <c r="R90" s="23"/>
      <c r="T90" s="104"/>
      <c r="U90" s="105"/>
      <c r="BE90" s="82"/>
      <c r="BF90" s="82"/>
      <c r="BG90" s="82"/>
      <c r="BH90" s="82"/>
      <c r="BI90" s="82"/>
    </row>
    <row r="91" spans="2:62" s="6" customFormat="1" ht="18.75" customHeight="1">
      <c r="B91" s="22"/>
      <c r="D91" s="259" t="s">
        <v>168</v>
      </c>
      <c r="E91" s="260"/>
      <c r="F91" s="260"/>
      <c r="G91" s="260"/>
      <c r="H91" s="165"/>
      <c r="I91" s="166"/>
      <c r="J91" s="166"/>
      <c r="K91" s="166"/>
      <c r="L91" s="166"/>
      <c r="M91" s="166"/>
      <c r="N91" s="262"/>
      <c r="O91" s="263"/>
      <c r="P91" s="263"/>
      <c r="Q91" s="264"/>
      <c r="R91" s="23"/>
      <c r="T91" s="106"/>
      <c r="U91" s="107" t="s">
        <v>34</v>
      </c>
      <c r="AY91" s="6" t="s">
        <v>101</v>
      </c>
      <c r="BE91" s="82">
        <f>IF($U$91="základní",$N$91,0)</f>
        <v>0</v>
      </c>
      <c r="BF91" s="82">
        <f>IF($U$91="snížená",$N$91,0)</f>
        <v>0</v>
      </c>
      <c r="BG91" s="82">
        <f>IF($U$91="zákl. přenesená",$N$91,0)</f>
        <v>0</v>
      </c>
      <c r="BH91" s="82">
        <f>IF($U$91="sníž. přenesená",$N$91,0)</f>
        <v>0</v>
      </c>
      <c r="BI91" s="82">
        <f>IF($U$91="nulová",$N$91,0)</f>
        <v>0</v>
      </c>
      <c r="BJ91" s="6" t="s">
        <v>19</v>
      </c>
    </row>
    <row r="92" spans="2:61" s="6" customFormat="1" ht="15">
      <c r="B92" s="22"/>
      <c r="D92" s="265" t="s">
        <v>169</v>
      </c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65"/>
      <c r="Q92" s="265"/>
      <c r="R92" s="23"/>
      <c r="T92" s="157"/>
      <c r="U92" s="164"/>
      <c r="BE92" s="82"/>
      <c r="BF92" s="82"/>
      <c r="BG92" s="82"/>
      <c r="BH92" s="82"/>
      <c r="BI92" s="82"/>
    </row>
    <row r="93" spans="2:18" s="6" customFormat="1" ht="14.25" customHeight="1">
      <c r="B93" s="22"/>
      <c r="R93" s="23"/>
    </row>
    <row r="94" spans="2:18" s="6" customFormat="1" ht="30" customHeight="1">
      <c r="B94" s="22"/>
      <c r="C94" s="89" t="s">
        <v>82</v>
      </c>
      <c r="D94" s="31"/>
      <c r="E94" s="31"/>
      <c r="F94" s="31"/>
      <c r="G94" s="31"/>
      <c r="H94" s="31"/>
      <c r="I94" s="31"/>
      <c r="J94" s="31"/>
      <c r="K94" s="31"/>
      <c r="L94" s="227">
        <f>ROUND(SUM($N$75+$N$82),2)</f>
        <v>0</v>
      </c>
      <c r="M94" s="228"/>
      <c r="N94" s="228"/>
      <c r="O94" s="228"/>
      <c r="P94" s="228"/>
      <c r="Q94" s="228"/>
      <c r="R94" s="23"/>
    </row>
    <row r="95" spans="2:18" s="6" customFormat="1" ht="7.5" customHeight="1">
      <c r="B95" s="44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6"/>
    </row>
    <row r="99" spans="2:18" s="6" customFormat="1" ht="7.5" customHeight="1"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9"/>
    </row>
    <row r="100" spans="2:18" s="6" customFormat="1" ht="37.5" customHeight="1">
      <c r="B100" s="22"/>
      <c r="C100" s="194" t="s">
        <v>102</v>
      </c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N100" s="196"/>
      <c r="O100" s="196"/>
      <c r="P100" s="196"/>
      <c r="Q100" s="196"/>
      <c r="R100" s="23"/>
    </row>
    <row r="101" spans="2:18" s="6" customFormat="1" ht="7.5" customHeight="1">
      <c r="B101" s="22"/>
      <c r="R101" s="23"/>
    </row>
    <row r="102" spans="2:18" s="6" customFormat="1" ht="30.75" customHeight="1">
      <c r="B102" s="22"/>
      <c r="C102" s="17" t="s">
        <v>15</v>
      </c>
      <c r="F102" s="252">
        <f>$F$6</f>
        <v>0</v>
      </c>
      <c r="G102" s="196"/>
      <c r="H102" s="196"/>
      <c r="I102" s="196"/>
      <c r="J102" s="196"/>
      <c r="K102" s="196"/>
      <c r="L102" s="196"/>
      <c r="M102" s="196"/>
      <c r="N102" s="196"/>
      <c r="O102" s="196"/>
      <c r="P102" s="196"/>
      <c r="R102" s="23"/>
    </row>
    <row r="103" spans="2:18" s="6" customFormat="1" ht="37.5" customHeight="1">
      <c r="B103" s="22"/>
      <c r="C103" s="52" t="s">
        <v>86</v>
      </c>
      <c r="F103" s="214" t="str">
        <f>$F$7</f>
        <v>01 - Stavební práce</v>
      </c>
      <c r="G103" s="196"/>
      <c r="H103" s="196"/>
      <c r="I103" s="196"/>
      <c r="J103" s="196"/>
      <c r="K103" s="196"/>
      <c r="L103" s="196"/>
      <c r="M103" s="196"/>
      <c r="N103" s="196"/>
      <c r="O103" s="196"/>
      <c r="P103" s="196"/>
      <c r="R103" s="23"/>
    </row>
    <row r="104" spans="2:18" s="6" customFormat="1" ht="7.5" customHeight="1">
      <c r="B104" s="22"/>
      <c r="R104" s="23"/>
    </row>
    <row r="105" spans="2:18" s="6" customFormat="1" ht="18.75" customHeight="1">
      <c r="B105" s="22"/>
      <c r="C105" s="17" t="s">
        <v>20</v>
      </c>
      <c r="F105" s="15"/>
      <c r="K105" s="17" t="s">
        <v>21</v>
      </c>
      <c r="M105" s="256">
        <f>IF($O$9="","",$O$9)</f>
      </c>
      <c r="N105" s="196"/>
      <c r="O105" s="196"/>
      <c r="P105" s="196"/>
      <c r="R105" s="23"/>
    </row>
    <row r="106" spans="2:18" s="6" customFormat="1" ht="7.5" customHeight="1">
      <c r="B106" s="22"/>
      <c r="R106" s="23"/>
    </row>
    <row r="107" spans="2:18" s="6" customFormat="1" ht="15.75" customHeight="1">
      <c r="B107" s="22"/>
      <c r="C107" s="17" t="s">
        <v>24</v>
      </c>
      <c r="F107" s="15">
        <f>$E$12</f>
      </c>
      <c r="K107" s="17"/>
      <c r="M107" s="198"/>
      <c r="N107" s="196"/>
      <c r="O107" s="196"/>
      <c r="P107" s="196"/>
      <c r="Q107" s="196"/>
      <c r="R107" s="23"/>
    </row>
    <row r="108" spans="2:18" s="6" customFormat="1" ht="15" customHeight="1">
      <c r="B108" s="22"/>
      <c r="C108" s="17" t="s">
        <v>27</v>
      </c>
      <c r="F108" s="15">
        <f>IF($E$15="","",$E$15)</f>
      </c>
      <c r="K108" s="17" t="s">
        <v>28</v>
      </c>
      <c r="M108" s="198">
        <f>$E$18</f>
        <v>0</v>
      </c>
      <c r="N108" s="196"/>
      <c r="O108" s="196"/>
      <c r="P108" s="196"/>
      <c r="Q108" s="196"/>
      <c r="R108" s="23"/>
    </row>
    <row r="109" spans="2:18" s="6" customFormat="1" ht="11.25" customHeight="1">
      <c r="B109" s="22"/>
      <c r="R109" s="23"/>
    </row>
    <row r="110" spans="2:27" s="108" customFormat="1" ht="30" customHeight="1">
      <c r="B110" s="109"/>
      <c r="C110" s="110" t="s">
        <v>103</v>
      </c>
      <c r="D110" s="111" t="s">
        <v>104</v>
      </c>
      <c r="E110" s="111" t="s">
        <v>49</v>
      </c>
      <c r="F110" s="268" t="s">
        <v>105</v>
      </c>
      <c r="G110" s="269"/>
      <c r="H110" s="269"/>
      <c r="I110" s="269"/>
      <c r="J110" s="111" t="s">
        <v>106</v>
      </c>
      <c r="K110" s="111" t="s">
        <v>107</v>
      </c>
      <c r="L110" s="268" t="s">
        <v>108</v>
      </c>
      <c r="M110" s="269"/>
      <c r="N110" s="268" t="s">
        <v>109</v>
      </c>
      <c r="O110" s="269"/>
      <c r="P110" s="269"/>
      <c r="Q110" s="270"/>
      <c r="R110" s="112"/>
      <c r="T110" s="59" t="s">
        <v>110</v>
      </c>
      <c r="U110" s="60" t="s">
        <v>33</v>
      </c>
      <c r="V110" s="60" t="s">
        <v>111</v>
      </c>
      <c r="W110" s="60" t="s">
        <v>112</v>
      </c>
      <c r="X110" s="60" t="s">
        <v>113</v>
      </c>
      <c r="Y110" s="60" t="s">
        <v>114</v>
      </c>
      <c r="Z110" s="60" t="s">
        <v>115</v>
      </c>
      <c r="AA110" s="61" t="s">
        <v>116</v>
      </c>
    </row>
    <row r="111" spans="2:63" s="6" customFormat="1" ht="30" customHeight="1">
      <c r="B111" s="22"/>
      <c r="C111" s="64" t="s">
        <v>88</v>
      </c>
      <c r="N111" s="282">
        <f>N112+N177</f>
        <v>0</v>
      </c>
      <c r="O111" s="196"/>
      <c r="P111" s="196"/>
      <c r="Q111" s="196"/>
      <c r="R111" s="23"/>
      <c r="T111" s="63"/>
      <c r="U111" s="36"/>
      <c r="V111" s="36"/>
      <c r="W111" s="113" t="e">
        <f>$W$112+$W$177</f>
        <v>#REF!</v>
      </c>
      <c r="X111" s="36"/>
      <c r="Y111" s="113" t="e">
        <f>$Y$112+$Y$177</f>
        <v>#REF!</v>
      </c>
      <c r="Z111" s="36"/>
      <c r="AA111" s="114" t="e">
        <f>$AA$112+$AA$177</f>
        <v>#REF!</v>
      </c>
      <c r="AT111" s="6" t="s">
        <v>66</v>
      </c>
      <c r="AU111" s="6" t="s">
        <v>93</v>
      </c>
      <c r="BK111" s="115" t="e">
        <f>$BK$112+$BK$177</f>
        <v>#REF!</v>
      </c>
    </row>
    <row r="112" spans="2:63" s="116" customFormat="1" ht="37.5" customHeight="1">
      <c r="B112" s="117"/>
      <c r="D112" s="118" t="s">
        <v>94</v>
      </c>
      <c r="E112" s="118"/>
      <c r="F112" s="118"/>
      <c r="G112" s="118"/>
      <c r="H112" s="118"/>
      <c r="I112" s="118"/>
      <c r="J112" s="118"/>
      <c r="K112" s="118"/>
      <c r="L112" s="118"/>
      <c r="M112" s="118"/>
      <c r="N112" s="261">
        <f>N113+N135+N152+N147+N172</f>
        <v>0</v>
      </c>
      <c r="O112" s="267"/>
      <c r="P112" s="267"/>
      <c r="Q112" s="267"/>
      <c r="R112" s="120"/>
      <c r="T112" s="121"/>
      <c r="W112" s="122" t="e">
        <f>$W$113+$W$135+#REF!+#REF!+$W$152</f>
        <v>#REF!</v>
      </c>
      <c r="Y112" s="122" t="e">
        <f>$Y$113+$Y$135+#REF!+#REF!+$Y$152</f>
        <v>#REF!</v>
      </c>
      <c r="AA112" s="123" t="e">
        <f>$AA$113+$AA$135+#REF!+#REF!+$AA$152</f>
        <v>#REF!</v>
      </c>
      <c r="AR112" s="119" t="s">
        <v>19</v>
      </c>
      <c r="AT112" s="119" t="s">
        <v>66</v>
      </c>
      <c r="AU112" s="119" t="s">
        <v>67</v>
      </c>
      <c r="AY112" s="119" t="s">
        <v>117</v>
      </c>
      <c r="BK112" s="124" t="e">
        <f>$BK$113+$BK$135+#REF!+#REF!+$BK$152</f>
        <v>#REF!</v>
      </c>
    </row>
    <row r="113" spans="2:63" s="116" customFormat="1" ht="21" customHeight="1">
      <c r="B113" s="117"/>
      <c r="D113" s="125" t="s">
        <v>95</v>
      </c>
      <c r="E113" s="125"/>
      <c r="F113" s="125"/>
      <c r="G113" s="125"/>
      <c r="H113" s="125"/>
      <c r="I113" s="125"/>
      <c r="J113" s="125"/>
      <c r="K113" s="125"/>
      <c r="L113" s="125"/>
      <c r="M113" s="125"/>
      <c r="N113" s="266">
        <f>N114+N116+N118+N120+N122+N124+N126+N127+N129+N131+N133</f>
        <v>0</v>
      </c>
      <c r="O113" s="267"/>
      <c r="P113" s="267"/>
      <c r="Q113" s="267"/>
      <c r="R113" s="120"/>
      <c r="T113" s="121"/>
      <c r="W113" s="122">
        <f>SUM($W$118:$W$128)</f>
        <v>0</v>
      </c>
      <c r="Y113" s="122">
        <f>SUM($Y$118:$Y$128)</f>
        <v>0</v>
      </c>
      <c r="AA113" s="123">
        <f>SUM($AA$118:$AA$128)</f>
        <v>0</v>
      </c>
      <c r="AR113" s="119" t="s">
        <v>19</v>
      </c>
      <c r="AT113" s="119" t="s">
        <v>66</v>
      </c>
      <c r="AU113" s="119" t="s">
        <v>19</v>
      </c>
      <c r="AY113" s="119" t="s">
        <v>117</v>
      </c>
      <c r="BK113" s="124">
        <f>SUM($BK$118:$BK$128)</f>
        <v>0</v>
      </c>
    </row>
    <row r="114" spans="2:63" s="116" customFormat="1" ht="27" customHeight="1">
      <c r="B114" s="117"/>
      <c r="C114" s="126">
        <v>1</v>
      </c>
      <c r="D114" s="126" t="s">
        <v>118</v>
      </c>
      <c r="E114" s="127" t="s">
        <v>174</v>
      </c>
      <c r="F114" s="244" t="s">
        <v>175</v>
      </c>
      <c r="G114" s="230"/>
      <c r="H114" s="230"/>
      <c r="I114" s="230"/>
      <c r="J114" s="128" t="s">
        <v>119</v>
      </c>
      <c r="K114" s="129">
        <v>8.539</v>
      </c>
      <c r="L114" s="245"/>
      <c r="M114" s="230"/>
      <c r="N114" s="246">
        <f>ROUND($L$114*$K$114,2)</f>
        <v>0</v>
      </c>
      <c r="O114" s="230"/>
      <c r="P114" s="230"/>
      <c r="Q114" s="230"/>
      <c r="R114" s="120"/>
      <c r="T114" s="121"/>
      <c r="W114" s="122"/>
      <c r="Y114" s="122"/>
      <c r="AA114" s="123"/>
      <c r="AR114" s="119"/>
      <c r="AT114" s="119"/>
      <c r="AU114" s="119"/>
      <c r="AY114" s="119"/>
      <c r="BK114" s="124"/>
    </row>
    <row r="115" spans="2:63" s="116" customFormat="1" ht="21" customHeight="1">
      <c r="B115" s="117"/>
      <c r="C115" s="6"/>
      <c r="D115" s="6"/>
      <c r="E115" s="134"/>
      <c r="F115" s="236" t="s">
        <v>209</v>
      </c>
      <c r="G115" s="237"/>
      <c r="H115" s="237"/>
      <c r="I115" s="237"/>
      <c r="J115" s="6"/>
      <c r="K115" s="135"/>
      <c r="L115" s="6"/>
      <c r="M115" s="6"/>
      <c r="N115" s="6"/>
      <c r="O115" s="6"/>
      <c r="P115" s="6"/>
      <c r="Q115" s="6"/>
      <c r="R115" s="120"/>
      <c r="T115" s="121"/>
      <c r="W115" s="122"/>
      <c r="Y115" s="122"/>
      <c r="AA115" s="123"/>
      <c r="AR115" s="119"/>
      <c r="AT115" s="119"/>
      <c r="AU115" s="119"/>
      <c r="AY115" s="119"/>
      <c r="BK115" s="124"/>
    </row>
    <row r="116" spans="2:63" s="116" customFormat="1" ht="21" customHeight="1">
      <c r="B116" s="117"/>
      <c r="C116" s="126" t="s">
        <v>84</v>
      </c>
      <c r="D116" s="126" t="s">
        <v>118</v>
      </c>
      <c r="E116" s="127" t="s">
        <v>176</v>
      </c>
      <c r="F116" s="244" t="s">
        <v>177</v>
      </c>
      <c r="G116" s="230"/>
      <c r="H116" s="230"/>
      <c r="I116" s="230"/>
      <c r="J116" s="128" t="s">
        <v>119</v>
      </c>
      <c r="K116" s="129">
        <v>17.078</v>
      </c>
      <c r="L116" s="245"/>
      <c r="M116" s="230"/>
      <c r="N116" s="246">
        <f>ROUND($L$116*$K$116,2)</f>
        <v>0</v>
      </c>
      <c r="O116" s="230"/>
      <c r="P116" s="230"/>
      <c r="Q116" s="230"/>
      <c r="R116" s="120"/>
      <c r="T116" s="121"/>
      <c r="W116" s="122"/>
      <c r="Y116" s="122"/>
      <c r="AA116" s="123"/>
      <c r="AR116" s="119"/>
      <c r="AT116" s="119"/>
      <c r="AU116" s="119"/>
      <c r="AY116" s="119"/>
      <c r="BK116" s="124"/>
    </row>
    <row r="117" spans="2:63" s="116" customFormat="1" ht="21" customHeight="1">
      <c r="B117" s="117"/>
      <c r="C117" s="6"/>
      <c r="D117" s="6"/>
      <c r="E117" s="134"/>
      <c r="F117" s="247" t="s">
        <v>210</v>
      </c>
      <c r="G117" s="247"/>
      <c r="H117" s="247"/>
      <c r="I117" s="247"/>
      <c r="J117" s="6"/>
      <c r="K117" s="135"/>
      <c r="L117" s="6"/>
      <c r="M117" s="6"/>
      <c r="N117" s="6"/>
      <c r="O117" s="6"/>
      <c r="P117" s="6"/>
      <c r="Q117" s="6"/>
      <c r="R117" s="120"/>
      <c r="T117" s="121"/>
      <c r="W117" s="122"/>
      <c r="Y117" s="122"/>
      <c r="AA117" s="123"/>
      <c r="AR117" s="119"/>
      <c r="AT117" s="119"/>
      <c r="AU117" s="119"/>
      <c r="AY117" s="119"/>
      <c r="BK117" s="124"/>
    </row>
    <row r="118" spans="2:51" s="6" customFormat="1" ht="40.5" customHeight="1">
      <c r="B118" s="133"/>
      <c r="C118" s="126">
        <v>3</v>
      </c>
      <c r="D118" s="126" t="s">
        <v>118</v>
      </c>
      <c r="E118" s="150" t="s">
        <v>153</v>
      </c>
      <c r="F118" s="229" t="s">
        <v>154</v>
      </c>
      <c r="G118" s="230"/>
      <c r="H118" s="230"/>
      <c r="I118" s="230"/>
      <c r="J118" s="128" t="s">
        <v>119</v>
      </c>
      <c r="K118" s="129">
        <v>2.7</v>
      </c>
      <c r="L118" s="245"/>
      <c r="M118" s="230"/>
      <c r="N118" s="246">
        <f>ROUND($L$118*$K$118,2)</f>
        <v>0</v>
      </c>
      <c r="O118" s="230"/>
      <c r="P118" s="230"/>
      <c r="Q118" s="230"/>
      <c r="R118" s="136"/>
      <c r="T118" s="137"/>
      <c r="AA118" s="138"/>
      <c r="AT118" s="134"/>
      <c r="AU118" s="134"/>
      <c r="AV118" s="134"/>
      <c r="AW118" s="134"/>
      <c r="AX118" s="134"/>
      <c r="AY118" s="134"/>
    </row>
    <row r="119" spans="2:51" s="6" customFormat="1" ht="30.75" customHeight="1">
      <c r="B119" s="133"/>
      <c r="E119" s="134"/>
      <c r="F119" s="236" t="s">
        <v>211</v>
      </c>
      <c r="G119" s="237"/>
      <c r="H119" s="237"/>
      <c r="I119" s="237"/>
      <c r="K119" s="135"/>
      <c r="R119" s="136"/>
      <c r="T119" s="137"/>
      <c r="AA119" s="138"/>
      <c r="AT119" s="134"/>
      <c r="AU119" s="134"/>
      <c r="AV119" s="134"/>
      <c r="AW119" s="134"/>
      <c r="AX119" s="134"/>
      <c r="AY119" s="134"/>
    </row>
    <row r="120" spans="2:51" s="6" customFormat="1" ht="33.75" customHeight="1">
      <c r="B120" s="133"/>
      <c r="C120" s="126">
        <v>4</v>
      </c>
      <c r="D120" s="126" t="s">
        <v>118</v>
      </c>
      <c r="E120" s="150" t="s">
        <v>156</v>
      </c>
      <c r="F120" s="229" t="s">
        <v>155</v>
      </c>
      <c r="G120" s="230"/>
      <c r="H120" s="230"/>
      <c r="I120" s="230"/>
      <c r="J120" s="128" t="s">
        <v>119</v>
      </c>
      <c r="K120" s="129">
        <v>14.1585</v>
      </c>
      <c r="L120" s="245"/>
      <c r="M120" s="230"/>
      <c r="N120" s="246">
        <f>ROUND($L$120*$K$120,2)</f>
        <v>0</v>
      </c>
      <c r="O120" s="230"/>
      <c r="P120" s="230"/>
      <c r="Q120" s="230"/>
      <c r="R120" s="136"/>
      <c r="T120" s="137"/>
      <c r="AA120" s="138"/>
      <c r="AT120" s="134"/>
      <c r="AU120" s="134"/>
      <c r="AV120" s="134"/>
      <c r="AW120" s="134"/>
      <c r="AX120" s="134"/>
      <c r="AY120" s="134"/>
    </row>
    <row r="121" spans="2:51" s="6" customFormat="1" ht="18.75" customHeight="1">
      <c r="B121" s="133"/>
      <c r="C121" s="6"/>
      <c r="E121" s="134"/>
      <c r="F121" s="236" t="s">
        <v>212</v>
      </c>
      <c r="G121" s="237"/>
      <c r="H121" s="237"/>
      <c r="I121" s="237"/>
      <c r="K121" s="135"/>
      <c r="R121" s="136"/>
      <c r="T121" s="137"/>
      <c r="AA121" s="138"/>
      <c r="AT121" s="134"/>
      <c r="AU121" s="134"/>
      <c r="AV121" s="134"/>
      <c r="AW121" s="134"/>
      <c r="AX121" s="134"/>
      <c r="AY121" s="134"/>
    </row>
    <row r="122" spans="2:65" s="6" customFormat="1" ht="27" customHeight="1">
      <c r="B122" s="22"/>
      <c r="C122" s="126">
        <v>5</v>
      </c>
      <c r="D122" s="126" t="s">
        <v>118</v>
      </c>
      <c r="E122" s="127" t="s">
        <v>123</v>
      </c>
      <c r="F122" s="244" t="s">
        <v>124</v>
      </c>
      <c r="G122" s="230"/>
      <c r="H122" s="230"/>
      <c r="I122" s="230"/>
      <c r="J122" s="128" t="s">
        <v>119</v>
      </c>
      <c r="K122" s="129">
        <v>28.317</v>
      </c>
      <c r="L122" s="245"/>
      <c r="M122" s="230"/>
      <c r="N122" s="246">
        <f>ROUND($L$122*$K$122,2)</f>
        <v>0</v>
      </c>
      <c r="O122" s="230"/>
      <c r="P122" s="230"/>
      <c r="Q122" s="230"/>
      <c r="R122" s="23"/>
      <c r="T122" s="130"/>
      <c r="U122" s="29" t="s">
        <v>34</v>
      </c>
      <c r="W122" s="131">
        <f>$V$122*$K$122</f>
        <v>0</v>
      </c>
      <c r="X122" s="131">
        <v>0</v>
      </c>
      <c r="Y122" s="131">
        <f>$X$122*$K$122</f>
        <v>0</v>
      </c>
      <c r="Z122" s="131">
        <v>0</v>
      </c>
      <c r="AA122" s="132">
        <f>$Z$122*$K$122</f>
        <v>0</v>
      </c>
      <c r="AR122" s="6" t="s">
        <v>120</v>
      </c>
      <c r="AT122" s="6" t="s">
        <v>118</v>
      </c>
      <c r="AU122" s="6" t="s">
        <v>84</v>
      </c>
      <c r="AY122" s="6" t="s">
        <v>117</v>
      </c>
      <c r="BE122" s="82">
        <f>IF($U$122="základní",$N$122,0)</f>
        <v>0</v>
      </c>
      <c r="BF122" s="82">
        <f>IF($U$122="snížená",$N$122,0)</f>
        <v>0</v>
      </c>
      <c r="BG122" s="82">
        <f>IF($U$122="zákl. přenesená",$N$122,0)</f>
        <v>0</v>
      </c>
      <c r="BH122" s="82">
        <f>IF($U$122="sníž. přenesená",$N$122,0)</f>
        <v>0</v>
      </c>
      <c r="BI122" s="82">
        <f>IF($U$122="nulová",$N$122,0)</f>
        <v>0</v>
      </c>
      <c r="BJ122" s="6" t="s">
        <v>19</v>
      </c>
      <c r="BK122" s="82">
        <f>ROUND($L$122*$K$122,2)</f>
        <v>0</v>
      </c>
      <c r="BL122" s="6" t="s">
        <v>120</v>
      </c>
      <c r="BM122" s="6" t="s">
        <v>125</v>
      </c>
    </row>
    <row r="123" spans="2:51" s="6" customFormat="1" ht="18.75" customHeight="1">
      <c r="B123" s="133"/>
      <c r="E123" s="134"/>
      <c r="F123" s="236" t="s">
        <v>213</v>
      </c>
      <c r="G123" s="237"/>
      <c r="H123" s="237"/>
      <c r="I123" s="237"/>
      <c r="K123" s="129"/>
      <c r="R123" s="136"/>
      <c r="T123" s="137"/>
      <c r="AA123" s="138"/>
      <c r="AT123" s="134" t="s">
        <v>121</v>
      </c>
      <c r="AU123" s="134" t="s">
        <v>84</v>
      </c>
      <c r="AV123" s="134" t="s">
        <v>84</v>
      </c>
      <c r="AW123" s="134" t="s">
        <v>93</v>
      </c>
      <c r="AX123" s="134" t="s">
        <v>67</v>
      </c>
      <c r="AY123" s="134" t="s">
        <v>117</v>
      </c>
    </row>
    <row r="124" spans="2:65" s="6" customFormat="1" ht="39" customHeight="1">
      <c r="B124" s="22"/>
      <c r="C124" s="126">
        <v>6</v>
      </c>
      <c r="D124" s="126" t="s">
        <v>118</v>
      </c>
      <c r="E124" s="127" t="s">
        <v>126</v>
      </c>
      <c r="F124" s="244" t="s">
        <v>127</v>
      </c>
      <c r="G124" s="230"/>
      <c r="H124" s="230"/>
      <c r="I124" s="230"/>
      <c r="J124" s="128" t="s">
        <v>119</v>
      </c>
      <c r="K124" s="129">
        <v>28.317</v>
      </c>
      <c r="L124" s="245"/>
      <c r="M124" s="230"/>
      <c r="N124" s="246">
        <f>ROUND($L$124*$K$124,2)</f>
        <v>0</v>
      </c>
      <c r="O124" s="230"/>
      <c r="P124" s="230"/>
      <c r="Q124" s="230"/>
      <c r="R124" s="23"/>
      <c r="T124" s="130"/>
      <c r="U124" s="29" t="s">
        <v>34</v>
      </c>
      <c r="W124" s="131">
        <f>$V$124*$K$124</f>
        <v>0</v>
      </c>
      <c r="X124" s="131">
        <v>0</v>
      </c>
      <c r="Y124" s="131">
        <f>$X$124*$K$124</f>
        <v>0</v>
      </c>
      <c r="Z124" s="131">
        <v>0</v>
      </c>
      <c r="AA124" s="132">
        <f>$Z$124*$K$124</f>
        <v>0</v>
      </c>
      <c r="AR124" s="6" t="s">
        <v>120</v>
      </c>
      <c r="AT124" s="6" t="s">
        <v>118</v>
      </c>
      <c r="AU124" s="6" t="s">
        <v>84</v>
      </c>
      <c r="AY124" s="6" t="s">
        <v>117</v>
      </c>
      <c r="BE124" s="82">
        <f>IF($U$124="základní",$N$124,0)</f>
        <v>0</v>
      </c>
      <c r="BF124" s="82">
        <f>IF($U$124="snížená",$N$124,0)</f>
        <v>0</v>
      </c>
      <c r="BG124" s="82">
        <f>IF($U$124="zákl. přenesená",$N$124,0)</f>
        <v>0</v>
      </c>
      <c r="BH124" s="82">
        <f>IF($U$124="sníž. přenesená",$N$124,0)</f>
        <v>0</v>
      </c>
      <c r="BI124" s="82">
        <f>IF($U$124="nulová",$N$124,0)</f>
        <v>0</v>
      </c>
      <c r="BJ124" s="6" t="s">
        <v>19</v>
      </c>
      <c r="BK124" s="82">
        <f>ROUND($L$124*$K$124,2)</f>
        <v>0</v>
      </c>
      <c r="BL124" s="6" t="s">
        <v>120</v>
      </c>
      <c r="BM124" s="6" t="s">
        <v>128</v>
      </c>
    </row>
    <row r="125" spans="2:51" s="6" customFormat="1" ht="18.75" customHeight="1">
      <c r="B125" s="133"/>
      <c r="E125" s="134"/>
      <c r="F125" s="236"/>
      <c r="G125" s="237"/>
      <c r="H125" s="237"/>
      <c r="I125" s="237"/>
      <c r="K125" s="135"/>
      <c r="R125" s="136"/>
      <c r="T125" s="137"/>
      <c r="AA125" s="138"/>
      <c r="AT125" s="134" t="s">
        <v>121</v>
      </c>
      <c r="AU125" s="134" t="s">
        <v>84</v>
      </c>
      <c r="AV125" s="134" t="s">
        <v>84</v>
      </c>
      <c r="AW125" s="134" t="s">
        <v>93</v>
      </c>
      <c r="AX125" s="134" t="s">
        <v>19</v>
      </c>
      <c r="AY125" s="134" t="s">
        <v>117</v>
      </c>
    </row>
    <row r="126" spans="2:65" s="6" customFormat="1" ht="15.75" customHeight="1">
      <c r="B126" s="22"/>
      <c r="C126" s="126">
        <v>7</v>
      </c>
      <c r="D126" s="126" t="s">
        <v>118</v>
      </c>
      <c r="E126" s="127" t="s">
        <v>129</v>
      </c>
      <c r="F126" s="244" t="s">
        <v>130</v>
      </c>
      <c r="G126" s="230"/>
      <c r="H126" s="230"/>
      <c r="I126" s="230"/>
      <c r="J126" s="128" t="s">
        <v>119</v>
      </c>
      <c r="K126" s="129">
        <v>28.317</v>
      </c>
      <c r="L126" s="245"/>
      <c r="M126" s="230"/>
      <c r="N126" s="246">
        <f>ROUND($L$126*$K$126,2)</f>
        <v>0</v>
      </c>
      <c r="O126" s="230"/>
      <c r="P126" s="230"/>
      <c r="Q126" s="230"/>
      <c r="R126" s="23"/>
      <c r="T126" s="130"/>
      <c r="U126" s="29" t="s">
        <v>34</v>
      </c>
      <c r="W126" s="131">
        <f>$V$126*$K$126</f>
        <v>0</v>
      </c>
      <c r="X126" s="131">
        <v>0</v>
      </c>
      <c r="Y126" s="131">
        <f>$X$126*$K$126</f>
        <v>0</v>
      </c>
      <c r="Z126" s="131">
        <v>0</v>
      </c>
      <c r="AA126" s="132">
        <f>$Z$126*$K$126</f>
        <v>0</v>
      </c>
      <c r="AR126" s="6" t="s">
        <v>120</v>
      </c>
      <c r="AT126" s="6" t="s">
        <v>118</v>
      </c>
      <c r="AU126" s="6" t="s">
        <v>84</v>
      </c>
      <c r="AY126" s="6" t="s">
        <v>117</v>
      </c>
      <c r="BE126" s="82">
        <f>IF($U$126="základní",$N$126,0)</f>
        <v>0</v>
      </c>
      <c r="BF126" s="82">
        <f>IF($U$126="snížená",$N$126,0)</f>
        <v>0</v>
      </c>
      <c r="BG126" s="82">
        <f>IF($U$126="zákl. přenesená",$N$126,0)</f>
        <v>0</v>
      </c>
      <c r="BH126" s="82">
        <f>IF($U$126="sníž. přenesená",$N$126,0)</f>
        <v>0</v>
      </c>
      <c r="BI126" s="82">
        <f>IF($U$126="nulová",$N$126,0)</f>
        <v>0</v>
      </c>
      <c r="BJ126" s="6" t="s">
        <v>19</v>
      </c>
      <c r="BK126" s="82">
        <f>ROUND($L$126*$K$126,2)</f>
        <v>0</v>
      </c>
      <c r="BL126" s="6" t="s">
        <v>120</v>
      </c>
      <c r="BM126" s="6" t="s">
        <v>131</v>
      </c>
    </row>
    <row r="127" spans="2:65" s="6" customFormat="1" ht="27" customHeight="1">
      <c r="B127" s="22"/>
      <c r="C127" s="126">
        <v>8</v>
      </c>
      <c r="D127" s="126" t="s">
        <v>118</v>
      </c>
      <c r="E127" s="127" t="s">
        <v>132</v>
      </c>
      <c r="F127" s="244" t="s">
        <v>133</v>
      </c>
      <c r="G127" s="230"/>
      <c r="H127" s="230"/>
      <c r="I127" s="230"/>
      <c r="J127" s="128" t="s">
        <v>134</v>
      </c>
      <c r="K127" s="129">
        <v>56.634</v>
      </c>
      <c r="L127" s="245"/>
      <c r="M127" s="230"/>
      <c r="N127" s="246">
        <f>ROUND($L$127*$K$127,2)</f>
        <v>0</v>
      </c>
      <c r="O127" s="230"/>
      <c r="P127" s="230"/>
      <c r="Q127" s="230"/>
      <c r="R127" s="23"/>
      <c r="T127" s="130"/>
      <c r="U127" s="29" t="s">
        <v>34</v>
      </c>
      <c r="W127" s="131">
        <f>$V$127*$K$127</f>
        <v>0</v>
      </c>
      <c r="X127" s="131">
        <v>0</v>
      </c>
      <c r="Y127" s="131">
        <f>$X$127*$K$127</f>
        <v>0</v>
      </c>
      <c r="Z127" s="131">
        <v>0</v>
      </c>
      <c r="AA127" s="132">
        <f>$Z$127*$K$127</f>
        <v>0</v>
      </c>
      <c r="AR127" s="6" t="s">
        <v>120</v>
      </c>
      <c r="AT127" s="6" t="s">
        <v>118</v>
      </c>
      <c r="AU127" s="6" t="s">
        <v>84</v>
      </c>
      <c r="AY127" s="6" t="s">
        <v>117</v>
      </c>
      <c r="BE127" s="82">
        <f>IF($U$127="základní",$N$127,0)</f>
        <v>0</v>
      </c>
      <c r="BF127" s="82">
        <f>IF($U$127="snížená",$N$127,0)</f>
        <v>0</v>
      </c>
      <c r="BG127" s="82">
        <f>IF($U$127="zákl. přenesená",$N$127,0)</f>
        <v>0</v>
      </c>
      <c r="BH127" s="82">
        <f>IF($U$127="sníž. přenesená",$N$127,0)</f>
        <v>0</v>
      </c>
      <c r="BI127" s="82">
        <f>IF($U$127="nulová",$N$127,0)</f>
        <v>0</v>
      </c>
      <c r="BJ127" s="6" t="s">
        <v>19</v>
      </c>
      <c r="BK127" s="82">
        <f>ROUND($L$127*$K$127,2)</f>
        <v>0</v>
      </c>
      <c r="BL127" s="6" t="s">
        <v>120</v>
      </c>
      <c r="BM127" s="6" t="s">
        <v>135</v>
      </c>
    </row>
    <row r="128" spans="2:51" s="6" customFormat="1" ht="18.75" customHeight="1">
      <c r="B128" s="133"/>
      <c r="E128" s="134"/>
      <c r="F128" s="236" t="s">
        <v>214</v>
      </c>
      <c r="G128" s="237"/>
      <c r="H128" s="237"/>
      <c r="I128" s="237"/>
      <c r="K128" s="135"/>
      <c r="R128" s="136"/>
      <c r="T128" s="137"/>
      <c r="AA128" s="138"/>
      <c r="AT128" s="134" t="s">
        <v>121</v>
      </c>
      <c r="AU128" s="134" t="s">
        <v>84</v>
      </c>
      <c r="AV128" s="134" t="s">
        <v>84</v>
      </c>
      <c r="AW128" s="134" t="s">
        <v>93</v>
      </c>
      <c r="AX128" s="134" t="s">
        <v>19</v>
      </c>
      <c r="AY128" s="134" t="s">
        <v>117</v>
      </c>
    </row>
    <row r="129" spans="2:51" s="6" customFormat="1" ht="27" customHeight="1">
      <c r="B129" s="133"/>
      <c r="C129" s="126">
        <v>9</v>
      </c>
      <c r="D129" s="126" t="s">
        <v>118</v>
      </c>
      <c r="E129" s="150" t="s">
        <v>178</v>
      </c>
      <c r="F129" s="229" t="s">
        <v>179</v>
      </c>
      <c r="G129" s="230"/>
      <c r="H129" s="230"/>
      <c r="I129" s="230"/>
      <c r="J129" s="152" t="s">
        <v>122</v>
      </c>
      <c r="K129" s="129">
        <v>85.3909</v>
      </c>
      <c r="L129" s="245"/>
      <c r="M129" s="230"/>
      <c r="N129" s="246">
        <f>ROUND($L$129*$K$129,2)</f>
        <v>0</v>
      </c>
      <c r="O129" s="230"/>
      <c r="P129" s="230"/>
      <c r="Q129" s="230"/>
      <c r="R129" s="136"/>
      <c r="T129" s="137"/>
      <c r="AA129" s="138"/>
      <c r="AT129" s="134"/>
      <c r="AU129" s="134"/>
      <c r="AV129" s="134"/>
      <c r="AW129" s="134"/>
      <c r="AX129" s="134"/>
      <c r="AY129" s="134"/>
    </row>
    <row r="130" spans="2:51" s="6" customFormat="1" ht="18.75" customHeight="1">
      <c r="B130" s="133"/>
      <c r="E130" s="134"/>
      <c r="F130" s="236" t="s">
        <v>215</v>
      </c>
      <c r="G130" s="237"/>
      <c r="H130" s="237"/>
      <c r="I130" s="237"/>
      <c r="K130" s="135"/>
      <c r="R130" s="136"/>
      <c r="T130" s="137"/>
      <c r="AA130" s="138"/>
      <c r="AT130" s="134"/>
      <c r="AU130" s="134"/>
      <c r="AV130" s="134"/>
      <c r="AW130" s="134"/>
      <c r="AX130" s="134"/>
      <c r="AY130" s="134"/>
    </row>
    <row r="131" spans="2:51" s="6" customFormat="1" ht="27.75" customHeight="1">
      <c r="B131" s="133"/>
      <c r="C131" s="126">
        <v>10</v>
      </c>
      <c r="D131" s="126" t="s">
        <v>118</v>
      </c>
      <c r="E131" s="127" t="s">
        <v>180</v>
      </c>
      <c r="F131" s="244" t="s">
        <v>181</v>
      </c>
      <c r="G131" s="248"/>
      <c r="H131" s="248"/>
      <c r="I131" s="248"/>
      <c r="J131" s="152" t="s">
        <v>122</v>
      </c>
      <c r="K131" s="129">
        <v>16.048</v>
      </c>
      <c r="L131" s="245"/>
      <c r="M131" s="230"/>
      <c r="N131" s="246">
        <f>ROUND($L$131*$K$131,2)</f>
        <v>0</v>
      </c>
      <c r="O131" s="230"/>
      <c r="P131" s="230"/>
      <c r="Q131" s="230"/>
      <c r="R131" s="136"/>
      <c r="T131" s="137"/>
      <c r="AA131" s="138"/>
      <c r="AT131" s="134"/>
      <c r="AU131" s="134"/>
      <c r="AV131" s="134"/>
      <c r="AW131" s="134"/>
      <c r="AX131" s="134"/>
      <c r="AY131" s="134"/>
    </row>
    <row r="132" spans="2:51" s="6" customFormat="1" ht="18.75" customHeight="1">
      <c r="B132" s="133"/>
      <c r="E132" s="134"/>
      <c r="F132" s="236" t="s">
        <v>216</v>
      </c>
      <c r="G132" s="237"/>
      <c r="H132" s="237"/>
      <c r="I132" s="237"/>
      <c r="K132" s="135"/>
      <c r="R132" s="136"/>
      <c r="T132" s="137"/>
      <c r="AA132" s="138"/>
      <c r="AT132" s="134"/>
      <c r="AU132" s="134"/>
      <c r="AV132" s="134"/>
      <c r="AW132" s="134"/>
      <c r="AX132" s="134"/>
      <c r="AY132" s="134"/>
    </row>
    <row r="133" spans="2:51" s="6" customFormat="1" ht="18.75" customHeight="1">
      <c r="B133" s="133"/>
      <c r="C133" s="126">
        <v>11</v>
      </c>
      <c r="D133" s="126" t="s">
        <v>182</v>
      </c>
      <c r="E133" s="127" t="s">
        <v>183</v>
      </c>
      <c r="F133" s="244" t="s">
        <v>184</v>
      </c>
      <c r="G133" s="230"/>
      <c r="H133" s="230"/>
      <c r="I133" s="230"/>
      <c r="J133" s="128" t="s">
        <v>185</v>
      </c>
      <c r="K133" s="129">
        <v>0.56168</v>
      </c>
      <c r="L133" s="245"/>
      <c r="M133" s="230"/>
      <c r="N133" s="246">
        <f>ROUND($L$133*$K$133,2)</f>
        <v>0</v>
      </c>
      <c r="O133" s="230"/>
      <c r="P133" s="230"/>
      <c r="Q133" s="230"/>
      <c r="R133" s="136"/>
      <c r="T133" s="137"/>
      <c r="AA133" s="138"/>
      <c r="AT133" s="134"/>
      <c r="AU133" s="134"/>
      <c r="AV133" s="134"/>
      <c r="AW133" s="134"/>
      <c r="AX133" s="134"/>
      <c r="AY133" s="134"/>
    </row>
    <row r="134" spans="2:51" s="6" customFormat="1" ht="18.75" customHeight="1">
      <c r="B134" s="133"/>
      <c r="E134" s="134"/>
      <c r="F134" s="236" t="s">
        <v>217</v>
      </c>
      <c r="G134" s="237"/>
      <c r="H134" s="237"/>
      <c r="I134" s="237"/>
      <c r="K134" s="135"/>
      <c r="R134" s="136"/>
      <c r="T134" s="137"/>
      <c r="AA134" s="138"/>
      <c r="AT134" s="134"/>
      <c r="AU134" s="134"/>
      <c r="AV134" s="134"/>
      <c r="AW134" s="134"/>
      <c r="AX134" s="134"/>
      <c r="AY134" s="134"/>
    </row>
    <row r="135" spans="2:63" s="116" customFormat="1" ht="30.75" customHeight="1">
      <c r="B135" s="117"/>
      <c r="D135" s="125" t="s">
        <v>96</v>
      </c>
      <c r="E135" s="125"/>
      <c r="F135" s="125"/>
      <c r="G135" s="125"/>
      <c r="H135" s="125"/>
      <c r="I135" s="125"/>
      <c r="J135" s="125"/>
      <c r="K135" s="125"/>
      <c r="L135" s="125"/>
      <c r="M135" s="125"/>
      <c r="N135" s="266">
        <f>N136+N138+N140+N142+N144</f>
        <v>0</v>
      </c>
      <c r="O135" s="267"/>
      <c r="P135" s="267"/>
      <c r="Q135" s="267"/>
      <c r="R135" s="120"/>
      <c r="T135" s="121"/>
      <c r="W135" s="122">
        <f>SUM($W$136:$W$137)</f>
        <v>0</v>
      </c>
      <c r="Y135" s="122">
        <f>SUM($Y$136:$Y$137)</f>
        <v>0</v>
      </c>
      <c r="AA135" s="123">
        <f>SUM($AA$136:$AA$137)</f>
        <v>0</v>
      </c>
      <c r="AR135" s="119" t="s">
        <v>19</v>
      </c>
      <c r="AT135" s="119" t="s">
        <v>66</v>
      </c>
      <c r="AU135" s="119" t="s">
        <v>19</v>
      </c>
      <c r="AY135" s="119" t="s">
        <v>117</v>
      </c>
      <c r="BK135" s="124">
        <f>SUM($BK$136:$BK$137)</f>
        <v>0</v>
      </c>
    </row>
    <row r="136" spans="2:65" s="6" customFormat="1" ht="27" customHeight="1">
      <c r="B136" s="22"/>
      <c r="C136" s="126">
        <v>12</v>
      </c>
      <c r="D136" s="126" t="s">
        <v>118</v>
      </c>
      <c r="E136" s="150" t="s">
        <v>157</v>
      </c>
      <c r="F136" s="229" t="s">
        <v>170</v>
      </c>
      <c r="G136" s="230"/>
      <c r="H136" s="230"/>
      <c r="I136" s="230"/>
      <c r="J136" s="128" t="s">
        <v>122</v>
      </c>
      <c r="K136" s="129">
        <v>2.7</v>
      </c>
      <c r="L136" s="245"/>
      <c r="M136" s="230"/>
      <c r="N136" s="246">
        <f>ROUND($L$136*$K$136,2)</f>
        <v>0</v>
      </c>
      <c r="O136" s="230"/>
      <c r="P136" s="230"/>
      <c r="Q136" s="230"/>
      <c r="R136" s="23"/>
      <c r="T136" s="130"/>
      <c r="U136" s="29" t="s">
        <v>34</v>
      </c>
      <c r="W136" s="131">
        <f>$V$136*$K$136</f>
        <v>0</v>
      </c>
      <c r="X136" s="131">
        <v>0</v>
      </c>
      <c r="Y136" s="131">
        <f>$X$136*$K$136</f>
        <v>0</v>
      </c>
      <c r="Z136" s="131">
        <v>0</v>
      </c>
      <c r="AA136" s="132">
        <f>$Z$136*$K$136</f>
        <v>0</v>
      </c>
      <c r="AR136" s="6" t="s">
        <v>120</v>
      </c>
      <c r="AT136" s="6" t="s">
        <v>118</v>
      </c>
      <c r="AU136" s="6" t="s">
        <v>84</v>
      </c>
      <c r="AY136" s="6" t="s">
        <v>117</v>
      </c>
      <c r="BE136" s="82">
        <f>IF($U$136="základní",$N$136,0)</f>
        <v>0</v>
      </c>
      <c r="BF136" s="82">
        <f>IF($U$136="snížená",$N$136,0)</f>
        <v>0</v>
      </c>
      <c r="BG136" s="82">
        <f>IF($U$136="zákl. přenesená",$N$136,0)</f>
        <v>0</v>
      </c>
      <c r="BH136" s="82">
        <f>IF($U$136="sníž. přenesená",$N$136,0)</f>
        <v>0</v>
      </c>
      <c r="BI136" s="82">
        <f>IF($U$136="nulová",$N$136,0)</f>
        <v>0</v>
      </c>
      <c r="BJ136" s="6" t="s">
        <v>19</v>
      </c>
      <c r="BK136" s="82">
        <f>ROUND($L$136*$K$136,2)</f>
        <v>0</v>
      </c>
      <c r="BL136" s="6" t="s">
        <v>120</v>
      </c>
      <c r="BM136" s="6" t="s">
        <v>136</v>
      </c>
    </row>
    <row r="137" spans="2:51" s="6" customFormat="1" ht="25.5" customHeight="1">
      <c r="B137" s="133"/>
      <c r="E137" s="134"/>
      <c r="F137" s="236" t="s">
        <v>211</v>
      </c>
      <c r="G137" s="237"/>
      <c r="H137" s="237"/>
      <c r="I137" s="237"/>
      <c r="K137" s="135"/>
      <c r="R137" s="136"/>
      <c r="T137" s="137"/>
      <c r="AA137" s="138"/>
      <c r="AT137" s="134" t="s">
        <v>121</v>
      </c>
      <c r="AU137" s="134" t="s">
        <v>84</v>
      </c>
      <c r="AV137" s="134" t="s">
        <v>84</v>
      </c>
      <c r="AW137" s="134" t="s">
        <v>93</v>
      </c>
      <c r="AX137" s="134" t="s">
        <v>67</v>
      </c>
      <c r="AY137" s="134" t="s">
        <v>117</v>
      </c>
    </row>
    <row r="138" spans="2:51" s="6" customFormat="1" ht="25.5" customHeight="1">
      <c r="B138" s="133"/>
      <c r="C138" s="126">
        <v>13</v>
      </c>
      <c r="D138" s="126" t="s">
        <v>118</v>
      </c>
      <c r="E138" s="127" t="s">
        <v>186</v>
      </c>
      <c r="F138" s="244" t="s">
        <v>189</v>
      </c>
      <c r="G138" s="230"/>
      <c r="H138" s="230"/>
      <c r="I138" s="230"/>
      <c r="J138" s="128" t="s">
        <v>122</v>
      </c>
      <c r="K138" s="129">
        <v>10.575</v>
      </c>
      <c r="L138" s="245"/>
      <c r="M138" s="230"/>
      <c r="N138" s="246">
        <f>ROUND($L$138*$K$138,2)</f>
        <v>0</v>
      </c>
      <c r="O138" s="230"/>
      <c r="P138" s="230"/>
      <c r="Q138" s="230"/>
      <c r="R138" s="136"/>
      <c r="T138" s="137"/>
      <c r="AA138" s="138"/>
      <c r="AT138" s="134"/>
      <c r="AU138" s="134"/>
      <c r="AV138" s="134"/>
      <c r="AW138" s="134"/>
      <c r="AX138" s="134"/>
      <c r="AY138" s="134"/>
    </row>
    <row r="139" spans="2:51" s="6" customFormat="1" ht="33" customHeight="1">
      <c r="B139" s="133"/>
      <c r="E139" s="134"/>
      <c r="F139" s="236" t="s">
        <v>218</v>
      </c>
      <c r="G139" s="237"/>
      <c r="H139" s="237"/>
      <c r="I139" s="237"/>
      <c r="K139" s="135"/>
      <c r="R139" s="136"/>
      <c r="T139" s="137"/>
      <c r="AA139" s="138"/>
      <c r="AT139" s="134"/>
      <c r="AU139" s="134"/>
      <c r="AV139" s="134"/>
      <c r="AW139" s="134"/>
      <c r="AX139" s="134"/>
      <c r="AY139" s="134"/>
    </row>
    <row r="140" spans="2:51" s="6" customFormat="1" ht="25.5" customHeight="1">
      <c r="B140" s="133"/>
      <c r="C140" s="126">
        <v>14</v>
      </c>
      <c r="D140" s="126" t="s">
        <v>118</v>
      </c>
      <c r="E140" s="127" t="s">
        <v>187</v>
      </c>
      <c r="F140" s="244" t="s">
        <v>188</v>
      </c>
      <c r="G140" s="230"/>
      <c r="H140" s="230"/>
      <c r="I140" s="230"/>
      <c r="J140" s="128" t="s">
        <v>122</v>
      </c>
      <c r="K140" s="129">
        <v>10.575</v>
      </c>
      <c r="L140" s="245"/>
      <c r="M140" s="230"/>
      <c r="N140" s="246">
        <f>ROUND($L$140*$K$140,2)</f>
        <v>0</v>
      </c>
      <c r="O140" s="230"/>
      <c r="P140" s="230"/>
      <c r="Q140" s="230"/>
      <c r="R140" s="136"/>
      <c r="T140" s="137"/>
      <c r="AA140" s="138"/>
      <c r="AT140" s="134"/>
      <c r="AU140" s="134"/>
      <c r="AV140" s="134"/>
      <c r="AW140" s="134"/>
      <c r="AX140" s="134"/>
      <c r="AY140" s="134"/>
    </row>
    <row r="141" spans="2:51" s="6" customFormat="1" ht="33.75" customHeight="1">
      <c r="B141" s="133"/>
      <c r="E141" s="134"/>
      <c r="F141" s="236" t="s">
        <v>218</v>
      </c>
      <c r="G141" s="237"/>
      <c r="H141" s="237"/>
      <c r="I141" s="237"/>
      <c r="K141" s="135"/>
      <c r="R141" s="136"/>
      <c r="T141" s="137"/>
      <c r="AA141" s="138"/>
      <c r="AT141" s="134"/>
      <c r="AU141" s="134"/>
      <c r="AV141" s="134"/>
      <c r="AW141" s="134"/>
      <c r="AX141" s="134"/>
      <c r="AY141" s="134"/>
    </row>
    <row r="142" spans="2:51" s="6" customFormat="1" ht="25.5" customHeight="1">
      <c r="B142" s="133"/>
      <c r="C142" s="126">
        <v>15</v>
      </c>
      <c r="D142" s="126" t="s">
        <v>118</v>
      </c>
      <c r="E142" s="127" t="s">
        <v>196</v>
      </c>
      <c r="F142" s="244" t="s">
        <v>197</v>
      </c>
      <c r="G142" s="230"/>
      <c r="H142" s="230"/>
      <c r="I142" s="230"/>
      <c r="J142" s="128" t="s">
        <v>122</v>
      </c>
      <c r="K142" s="129">
        <v>83.3949</v>
      </c>
      <c r="L142" s="245"/>
      <c r="M142" s="230"/>
      <c r="N142" s="246">
        <f>ROUND($L$142*$K$142,2)</f>
        <v>0</v>
      </c>
      <c r="O142" s="230"/>
      <c r="P142" s="230"/>
      <c r="Q142" s="230"/>
      <c r="R142" s="136"/>
      <c r="T142" s="137"/>
      <c r="AA142" s="138"/>
      <c r="AT142" s="134"/>
      <c r="AU142" s="134"/>
      <c r="AV142" s="134"/>
      <c r="AW142" s="134"/>
      <c r="AX142" s="134"/>
      <c r="AY142" s="134"/>
    </row>
    <row r="143" spans="2:51" s="6" customFormat="1" ht="21.75" customHeight="1">
      <c r="B143" s="133"/>
      <c r="E143" s="134"/>
      <c r="F143" s="236" t="s">
        <v>219</v>
      </c>
      <c r="G143" s="237"/>
      <c r="H143" s="237"/>
      <c r="I143" s="237"/>
      <c r="K143" s="135"/>
      <c r="R143" s="136"/>
      <c r="T143" s="137"/>
      <c r="AA143" s="138"/>
      <c r="AT143" s="134"/>
      <c r="AU143" s="134"/>
      <c r="AV143" s="134"/>
      <c r="AW143" s="134"/>
      <c r="AX143" s="134"/>
      <c r="AY143" s="134"/>
    </row>
    <row r="144" spans="2:51" s="6" customFormat="1" ht="21.75" customHeight="1">
      <c r="B144" s="133"/>
      <c r="C144" s="126">
        <v>16</v>
      </c>
      <c r="D144" s="126" t="s">
        <v>118</v>
      </c>
      <c r="E144" s="127" t="s">
        <v>198</v>
      </c>
      <c r="F144" s="244" t="s">
        <v>199</v>
      </c>
      <c r="G144" s="230"/>
      <c r="H144" s="230"/>
      <c r="I144" s="230"/>
      <c r="J144" s="128" t="s">
        <v>122</v>
      </c>
      <c r="K144" s="129">
        <v>83.3949</v>
      </c>
      <c r="L144" s="245"/>
      <c r="M144" s="230"/>
      <c r="N144" s="246">
        <f>ROUND($L$144*$K$144,2)</f>
        <v>0</v>
      </c>
      <c r="O144" s="230"/>
      <c r="P144" s="230"/>
      <c r="Q144" s="230"/>
      <c r="R144" s="136"/>
      <c r="T144" s="137"/>
      <c r="AA144" s="138"/>
      <c r="AT144" s="134"/>
      <c r="AU144" s="134"/>
      <c r="AV144" s="134"/>
      <c r="AW144" s="134"/>
      <c r="AX144" s="134"/>
      <c r="AY144" s="134"/>
    </row>
    <row r="145" spans="2:51" s="6" customFormat="1" ht="19.5" customHeight="1">
      <c r="B145" s="133"/>
      <c r="E145" s="134"/>
      <c r="F145" s="236" t="s">
        <v>219</v>
      </c>
      <c r="G145" s="237"/>
      <c r="H145" s="237"/>
      <c r="I145" s="237"/>
      <c r="K145" s="135"/>
      <c r="R145" s="136"/>
      <c r="T145" s="137"/>
      <c r="AA145" s="138"/>
      <c r="AT145" s="134"/>
      <c r="AU145" s="134"/>
      <c r="AV145" s="134"/>
      <c r="AW145" s="134"/>
      <c r="AX145" s="134"/>
      <c r="AY145" s="134"/>
    </row>
    <row r="146" spans="2:51" s="6" customFormat="1" ht="15" customHeight="1">
      <c r="B146" s="133"/>
      <c r="E146" s="134"/>
      <c r="F146" s="153"/>
      <c r="G146" s="134"/>
      <c r="H146" s="134"/>
      <c r="I146" s="134"/>
      <c r="K146" s="135"/>
      <c r="R146" s="136"/>
      <c r="T146" s="137"/>
      <c r="AA146" s="138"/>
      <c r="AT146" s="134"/>
      <c r="AU146" s="134"/>
      <c r="AV146" s="134"/>
      <c r="AW146" s="134"/>
      <c r="AX146" s="134"/>
      <c r="AY146" s="134"/>
    </row>
    <row r="147" spans="2:51" s="6" customFormat="1" ht="18.75" customHeight="1">
      <c r="B147" s="133"/>
      <c r="C147" s="183"/>
      <c r="D147" s="184" t="s">
        <v>159</v>
      </c>
      <c r="E147" s="184"/>
      <c r="F147" s="184"/>
      <c r="G147" s="184"/>
      <c r="H147" s="184"/>
      <c r="I147" s="184"/>
      <c r="J147" s="184"/>
      <c r="K147" s="184"/>
      <c r="L147" s="184"/>
      <c r="M147" s="184"/>
      <c r="N147" s="271">
        <f>N150+N148</f>
        <v>0</v>
      </c>
      <c r="O147" s="272"/>
      <c r="P147" s="272"/>
      <c r="Q147" s="272"/>
      <c r="R147" s="136"/>
      <c r="T147" s="137"/>
      <c r="AA147" s="138"/>
      <c r="AT147" s="134"/>
      <c r="AU147" s="134"/>
      <c r="AV147" s="134"/>
      <c r="AW147" s="134"/>
      <c r="AX147" s="134"/>
      <c r="AY147" s="134"/>
    </row>
    <row r="148" spans="2:51" s="6" customFormat="1" ht="24.75" customHeight="1">
      <c r="B148" s="133"/>
      <c r="C148" s="185">
        <v>17</v>
      </c>
      <c r="D148" s="185" t="s">
        <v>118</v>
      </c>
      <c r="E148" s="186" t="s">
        <v>190</v>
      </c>
      <c r="F148" s="238" t="s">
        <v>191</v>
      </c>
      <c r="G148" s="239"/>
      <c r="H148" s="239"/>
      <c r="I148" s="239"/>
      <c r="J148" s="187" t="s">
        <v>122</v>
      </c>
      <c r="K148" s="188">
        <v>83.3949</v>
      </c>
      <c r="L148" s="240"/>
      <c r="M148" s="239"/>
      <c r="N148" s="241">
        <f>ROUND($L$148*$K$148,2)</f>
        <v>0</v>
      </c>
      <c r="O148" s="239"/>
      <c r="P148" s="239"/>
      <c r="Q148" s="239"/>
      <c r="R148" s="136"/>
      <c r="T148" s="137"/>
      <c r="AA148" s="138"/>
      <c r="AT148" s="134"/>
      <c r="AU148" s="134"/>
      <c r="AV148" s="134"/>
      <c r="AW148" s="134"/>
      <c r="AX148" s="134"/>
      <c r="AY148" s="134"/>
    </row>
    <row r="149" spans="2:51" s="6" customFormat="1" ht="18.75" customHeight="1">
      <c r="B149" s="133"/>
      <c r="C149" s="178"/>
      <c r="D149" s="178"/>
      <c r="E149" s="178"/>
      <c r="F149" s="242" t="s">
        <v>219</v>
      </c>
      <c r="G149" s="235"/>
      <c r="H149" s="235"/>
      <c r="I149" s="235"/>
      <c r="J149" s="178"/>
      <c r="K149" s="189"/>
      <c r="L149" s="178"/>
      <c r="M149" s="178"/>
      <c r="N149" s="178"/>
      <c r="O149" s="178"/>
      <c r="P149" s="178"/>
      <c r="Q149" s="178"/>
      <c r="R149" s="136"/>
      <c r="T149" s="137"/>
      <c r="AA149" s="138"/>
      <c r="AT149" s="134"/>
      <c r="AU149" s="134"/>
      <c r="AV149" s="134"/>
      <c r="AW149" s="134"/>
      <c r="AX149" s="134"/>
      <c r="AY149" s="134"/>
    </row>
    <row r="150" spans="2:51" s="6" customFormat="1" ht="33.75" customHeight="1">
      <c r="B150" s="133"/>
      <c r="C150" s="185">
        <v>18</v>
      </c>
      <c r="D150" s="185" t="s">
        <v>118</v>
      </c>
      <c r="E150" s="186" t="s">
        <v>160</v>
      </c>
      <c r="F150" s="238" t="s">
        <v>220</v>
      </c>
      <c r="G150" s="239"/>
      <c r="H150" s="239"/>
      <c r="I150" s="239"/>
      <c r="J150" s="187" t="s">
        <v>122</v>
      </c>
      <c r="K150" s="188">
        <v>83.3949</v>
      </c>
      <c r="L150" s="240"/>
      <c r="M150" s="239"/>
      <c r="N150" s="241">
        <f>ROUND($L$150*$K$150,2)</f>
        <v>0</v>
      </c>
      <c r="O150" s="239"/>
      <c r="P150" s="239"/>
      <c r="Q150" s="239"/>
      <c r="R150" s="136"/>
      <c r="T150" s="137"/>
      <c r="AA150" s="138"/>
      <c r="AT150" s="134"/>
      <c r="AU150" s="134"/>
      <c r="AV150" s="134"/>
      <c r="AW150" s="134"/>
      <c r="AX150" s="134"/>
      <c r="AY150" s="134"/>
    </row>
    <row r="151" spans="2:51" s="6" customFormat="1" ht="18.75" customHeight="1">
      <c r="B151" s="133"/>
      <c r="C151" s="178"/>
      <c r="D151" s="178"/>
      <c r="E151" s="178"/>
      <c r="F151" s="242" t="s">
        <v>219</v>
      </c>
      <c r="G151" s="235"/>
      <c r="H151" s="235"/>
      <c r="I151" s="235"/>
      <c r="J151" s="178"/>
      <c r="K151" s="189"/>
      <c r="L151" s="178"/>
      <c r="M151" s="178"/>
      <c r="N151" s="178"/>
      <c r="O151" s="178"/>
      <c r="P151" s="178"/>
      <c r="Q151" s="178"/>
      <c r="R151" s="136"/>
      <c r="T151" s="137"/>
      <c r="AA151" s="138"/>
      <c r="AT151" s="134"/>
      <c r="AU151" s="134"/>
      <c r="AV151" s="134"/>
      <c r="AW151" s="134"/>
      <c r="AX151" s="134"/>
      <c r="AY151" s="134"/>
    </row>
    <row r="152" spans="2:63" s="116" customFormat="1" ht="30.75" customHeight="1">
      <c r="B152" s="117"/>
      <c r="D152" s="125" t="s">
        <v>97</v>
      </c>
      <c r="E152" s="125"/>
      <c r="F152" s="125"/>
      <c r="G152" s="125"/>
      <c r="H152" s="125"/>
      <c r="I152" s="125"/>
      <c r="J152" s="125"/>
      <c r="K152" s="125"/>
      <c r="L152" s="125"/>
      <c r="M152" s="125"/>
      <c r="N152" s="266">
        <f>N153+N155+N157+N163+N159+N161+N165+N167+N169</f>
        <v>0</v>
      </c>
      <c r="O152" s="267"/>
      <c r="P152" s="267"/>
      <c r="Q152" s="267"/>
      <c r="R152" s="120"/>
      <c r="T152" s="121"/>
      <c r="W152" s="122">
        <f>SUM($W$153:$W$170)</f>
        <v>0</v>
      </c>
      <c r="Y152" s="122">
        <f>SUM($Y$153:$Y$170)</f>
        <v>0.0566</v>
      </c>
      <c r="AA152" s="123">
        <f>SUM($AA$153:$AA$170)</f>
        <v>0</v>
      </c>
      <c r="AR152" s="119" t="s">
        <v>19</v>
      </c>
      <c r="AT152" s="119" t="s">
        <v>66</v>
      </c>
      <c r="AU152" s="119" t="s">
        <v>19</v>
      </c>
      <c r="AY152" s="119" t="s">
        <v>117</v>
      </c>
      <c r="BK152" s="124">
        <f>SUM($BK$153:$BK$170)</f>
        <v>0</v>
      </c>
    </row>
    <row r="153" spans="2:65" s="6" customFormat="1" ht="30" customHeight="1">
      <c r="B153" s="22"/>
      <c r="C153" s="167">
        <v>19</v>
      </c>
      <c r="D153" s="167" t="s">
        <v>118</v>
      </c>
      <c r="E153" s="168" t="s">
        <v>138</v>
      </c>
      <c r="F153" s="243" t="s">
        <v>192</v>
      </c>
      <c r="G153" s="232"/>
      <c r="H153" s="232"/>
      <c r="I153" s="232"/>
      <c r="J153" s="169" t="s">
        <v>139</v>
      </c>
      <c r="K153" s="170">
        <v>1</v>
      </c>
      <c r="L153" s="231"/>
      <c r="M153" s="232"/>
      <c r="N153" s="233">
        <f>ROUND($L$153*$K$153,2)</f>
        <v>0</v>
      </c>
      <c r="O153" s="232"/>
      <c r="P153" s="232"/>
      <c r="Q153" s="232"/>
      <c r="R153" s="23"/>
      <c r="T153" s="130"/>
      <c r="U153" s="29" t="s">
        <v>34</v>
      </c>
      <c r="W153" s="131">
        <f>$V$153*$K$153</f>
        <v>0</v>
      </c>
      <c r="X153" s="131">
        <v>0.0283</v>
      </c>
      <c r="Y153" s="131">
        <f>$X$153*$K$153</f>
        <v>0.0283</v>
      </c>
      <c r="Z153" s="131">
        <v>0</v>
      </c>
      <c r="AA153" s="132">
        <f>$Z$153*$K$153</f>
        <v>0</v>
      </c>
      <c r="AR153" s="6" t="s">
        <v>120</v>
      </c>
      <c r="AT153" s="6" t="s">
        <v>118</v>
      </c>
      <c r="AU153" s="6" t="s">
        <v>84</v>
      </c>
      <c r="AY153" s="6" t="s">
        <v>117</v>
      </c>
      <c r="BE153" s="82">
        <f>IF($U$153="základní",$N$153,0)</f>
        <v>0</v>
      </c>
      <c r="BF153" s="82">
        <f>IF($U$153="snížená",$N$153,0)</f>
        <v>0</v>
      </c>
      <c r="BG153" s="82">
        <f>IF($U$153="zákl. přenesená",$N$153,0)</f>
        <v>0</v>
      </c>
      <c r="BH153" s="82">
        <f>IF($U$153="sníž. přenesená",$N$153,0)</f>
        <v>0</v>
      </c>
      <c r="BI153" s="82">
        <f>IF($U$153="nulová",$N$153,0)</f>
        <v>0</v>
      </c>
      <c r="BJ153" s="6" t="s">
        <v>19</v>
      </c>
      <c r="BK153" s="82">
        <f>ROUND($L$153*$K$153,2)</f>
        <v>0</v>
      </c>
      <c r="BL153" s="6" t="s">
        <v>120</v>
      </c>
      <c r="BM153" s="6" t="s">
        <v>140</v>
      </c>
    </row>
    <row r="154" spans="2:47" s="6" customFormat="1" ht="43.5" customHeight="1">
      <c r="B154" s="22"/>
      <c r="C154" s="171"/>
      <c r="D154" s="171"/>
      <c r="E154" s="171"/>
      <c r="F154" s="234" t="s">
        <v>225</v>
      </c>
      <c r="G154" s="235"/>
      <c r="H154" s="235"/>
      <c r="I154" s="235"/>
      <c r="J154" s="171"/>
      <c r="K154" s="171"/>
      <c r="L154" s="179"/>
      <c r="M154" s="179"/>
      <c r="N154" s="171"/>
      <c r="O154" s="171"/>
      <c r="P154" s="171"/>
      <c r="Q154" s="171"/>
      <c r="R154" s="23"/>
      <c r="T154" s="57"/>
      <c r="AA154" s="58"/>
      <c r="AT154" s="6" t="s">
        <v>137</v>
      </c>
      <c r="AU154" s="6" t="s">
        <v>84</v>
      </c>
    </row>
    <row r="155" spans="2:27" s="6" customFormat="1" ht="25.5" customHeight="1">
      <c r="B155" s="22"/>
      <c r="C155" s="167">
        <v>20</v>
      </c>
      <c r="D155" s="167" t="s">
        <v>118</v>
      </c>
      <c r="E155" s="168" t="s">
        <v>142</v>
      </c>
      <c r="F155" s="243" t="s">
        <v>193</v>
      </c>
      <c r="G155" s="232"/>
      <c r="H155" s="232"/>
      <c r="I155" s="232"/>
      <c r="J155" s="169" t="s">
        <v>139</v>
      </c>
      <c r="K155" s="170">
        <v>1</v>
      </c>
      <c r="L155" s="231"/>
      <c r="M155" s="232"/>
      <c r="N155" s="233">
        <f>ROUND($L$155*$K$155,2)</f>
        <v>0</v>
      </c>
      <c r="O155" s="232"/>
      <c r="P155" s="232"/>
      <c r="Q155" s="232"/>
      <c r="R155" s="23"/>
      <c r="T155" s="57"/>
      <c r="AA155" s="58"/>
    </row>
    <row r="156" spans="2:27" s="6" customFormat="1" ht="10.5" customHeight="1">
      <c r="B156" s="22"/>
      <c r="C156" s="171"/>
      <c r="D156" s="171"/>
      <c r="E156" s="171"/>
      <c r="F156" s="234" t="s">
        <v>226</v>
      </c>
      <c r="G156" s="235"/>
      <c r="H156" s="235"/>
      <c r="I156" s="235"/>
      <c r="J156" s="171"/>
      <c r="K156" s="171"/>
      <c r="L156" s="179"/>
      <c r="M156" s="179"/>
      <c r="N156" s="171"/>
      <c r="O156" s="171"/>
      <c r="P156" s="171"/>
      <c r="Q156" s="171"/>
      <c r="R156" s="23"/>
      <c r="T156" s="57"/>
      <c r="AA156" s="58"/>
    </row>
    <row r="157" spans="2:27" s="6" customFormat="1" ht="28.5" customHeight="1">
      <c r="B157" s="22"/>
      <c r="C157" s="167">
        <v>21</v>
      </c>
      <c r="D157" s="167" t="s">
        <v>118</v>
      </c>
      <c r="E157" s="168" t="s">
        <v>195</v>
      </c>
      <c r="F157" s="243" t="s">
        <v>194</v>
      </c>
      <c r="G157" s="232"/>
      <c r="H157" s="232"/>
      <c r="I157" s="232"/>
      <c r="J157" s="169" t="s">
        <v>139</v>
      </c>
      <c r="K157" s="170">
        <v>1</v>
      </c>
      <c r="L157" s="231"/>
      <c r="M157" s="232"/>
      <c r="N157" s="233">
        <f>ROUND($L$157*$K$157,2)</f>
        <v>0</v>
      </c>
      <c r="O157" s="232"/>
      <c r="P157" s="232"/>
      <c r="Q157" s="232"/>
      <c r="R157" s="23"/>
      <c r="T157" s="57"/>
      <c r="AA157" s="58"/>
    </row>
    <row r="158" spans="2:27" s="6" customFormat="1" ht="25.5" customHeight="1">
      <c r="B158" s="22"/>
      <c r="C158" s="171"/>
      <c r="D158" s="171"/>
      <c r="E158" s="171"/>
      <c r="F158" s="234" t="s">
        <v>221</v>
      </c>
      <c r="G158" s="235"/>
      <c r="H158" s="235"/>
      <c r="I158" s="235"/>
      <c r="J158" s="171"/>
      <c r="K158" s="171"/>
      <c r="L158" s="179"/>
      <c r="M158" s="179"/>
      <c r="N158" s="171"/>
      <c r="O158" s="171"/>
      <c r="P158" s="171"/>
      <c r="Q158" s="171"/>
      <c r="R158" s="23"/>
      <c r="T158" s="57"/>
      <c r="AA158" s="58"/>
    </row>
    <row r="159" spans="2:27" s="6" customFormat="1" ht="21" customHeight="1">
      <c r="B159" s="22"/>
      <c r="C159" s="167">
        <v>22</v>
      </c>
      <c r="D159" s="167" t="s">
        <v>118</v>
      </c>
      <c r="E159" s="168" t="s">
        <v>195</v>
      </c>
      <c r="F159" s="229" t="s">
        <v>158</v>
      </c>
      <c r="G159" s="230"/>
      <c r="H159" s="230"/>
      <c r="I159" s="230"/>
      <c r="J159" s="169" t="s">
        <v>139</v>
      </c>
      <c r="K159" s="170">
        <v>1</v>
      </c>
      <c r="L159" s="231"/>
      <c r="M159" s="232"/>
      <c r="N159" s="233">
        <f>ROUND($L$159*$K$159,2)</f>
        <v>0</v>
      </c>
      <c r="O159" s="232"/>
      <c r="P159" s="232"/>
      <c r="Q159" s="232"/>
      <c r="R159" s="23"/>
      <c r="T159" s="57"/>
      <c r="AA159" s="58"/>
    </row>
    <row r="160" spans="2:27" s="6" customFormat="1" ht="18.75" customHeight="1">
      <c r="B160" s="22"/>
      <c r="C160" s="174"/>
      <c r="D160" s="174"/>
      <c r="E160" s="174"/>
      <c r="F160" s="234" t="s">
        <v>173</v>
      </c>
      <c r="G160" s="235"/>
      <c r="H160" s="235"/>
      <c r="I160" s="235"/>
      <c r="J160" s="174"/>
      <c r="K160" s="174"/>
      <c r="L160" s="179"/>
      <c r="M160" s="179"/>
      <c r="N160" s="174"/>
      <c r="O160" s="174"/>
      <c r="P160" s="174"/>
      <c r="Q160" s="174"/>
      <c r="R160" s="23"/>
      <c r="T160" s="57"/>
      <c r="AA160" s="58"/>
    </row>
    <row r="161" spans="2:27" s="6" customFormat="1" ht="21.75" customHeight="1">
      <c r="B161" s="22"/>
      <c r="C161" s="167">
        <v>23</v>
      </c>
      <c r="D161" s="167" t="s">
        <v>118</v>
      </c>
      <c r="E161" s="168" t="s">
        <v>195</v>
      </c>
      <c r="F161" s="244" t="s">
        <v>223</v>
      </c>
      <c r="G161" s="230"/>
      <c r="H161" s="230"/>
      <c r="I161" s="230"/>
      <c r="J161" s="169" t="s">
        <v>139</v>
      </c>
      <c r="K161" s="170">
        <v>1</v>
      </c>
      <c r="L161" s="231"/>
      <c r="M161" s="232"/>
      <c r="N161" s="233">
        <f>ROUND($L$161*$K$161,2)</f>
        <v>0</v>
      </c>
      <c r="O161" s="232"/>
      <c r="P161" s="232"/>
      <c r="Q161" s="232"/>
      <c r="R161" s="23"/>
      <c r="T161" s="57"/>
      <c r="AA161" s="58"/>
    </row>
    <row r="162" spans="2:27" s="6" customFormat="1" ht="18.75" customHeight="1">
      <c r="B162" s="22"/>
      <c r="C162" s="176"/>
      <c r="D162" s="176"/>
      <c r="E162" s="176"/>
      <c r="F162" s="234" t="s">
        <v>224</v>
      </c>
      <c r="G162" s="235"/>
      <c r="H162" s="235"/>
      <c r="I162" s="235"/>
      <c r="J162" s="176"/>
      <c r="K162" s="176"/>
      <c r="L162" s="176"/>
      <c r="M162" s="176"/>
      <c r="N162" s="176"/>
      <c r="O162" s="176"/>
      <c r="P162" s="176"/>
      <c r="Q162" s="176"/>
      <c r="R162" s="23"/>
      <c r="T162" s="57"/>
      <c r="AA162" s="58"/>
    </row>
    <row r="163" spans="2:27" s="6" customFormat="1" ht="36" customHeight="1">
      <c r="B163" s="22"/>
      <c r="C163" s="126">
        <v>24</v>
      </c>
      <c r="D163" s="126" t="s">
        <v>118</v>
      </c>
      <c r="E163" s="150" t="s">
        <v>200</v>
      </c>
      <c r="F163" s="244" t="s">
        <v>201</v>
      </c>
      <c r="G163" s="230"/>
      <c r="H163" s="230"/>
      <c r="I163" s="230"/>
      <c r="J163" s="128" t="s">
        <v>202</v>
      </c>
      <c r="K163" s="129">
        <v>40.12</v>
      </c>
      <c r="L163" s="245"/>
      <c r="M163" s="230"/>
      <c r="N163" s="246">
        <f>ROUND($L$163*$K$163,2)</f>
        <v>0</v>
      </c>
      <c r="O163" s="230"/>
      <c r="P163" s="230"/>
      <c r="Q163" s="230"/>
      <c r="R163" s="23"/>
      <c r="T163" s="57"/>
      <c r="AA163" s="58"/>
    </row>
    <row r="164" spans="2:27" s="6" customFormat="1" ht="10.5" customHeight="1">
      <c r="B164" s="22"/>
      <c r="F164" s="234" t="s">
        <v>222</v>
      </c>
      <c r="G164" s="235"/>
      <c r="H164" s="235"/>
      <c r="I164" s="235"/>
      <c r="R164" s="23"/>
      <c r="T164" s="57"/>
      <c r="AA164" s="58"/>
    </row>
    <row r="165" spans="2:27" s="6" customFormat="1" ht="18.75" customHeight="1">
      <c r="B165" s="22"/>
      <c r="C165" s="126">
        <v>25</v>
      </c>
      <c r="D165" s="172" t="s">
        <v>182</v>
      </c>
      <c r="E165" s="150" t="s">
        <v>203</v>
      </c>
      <c r="F165" s="244" t="s">
        <v>205</v>
      </c>
      <c r="G165" s="283"/>
      <c r="H165" s="283"/>
      <c r="I165" s="283"/>
      <c r="J165" s="152" t="s">
        <v>204</v>
      </c>
      <c r="K165" s="173">
        <v>34</v>
      </c>
      <c r="L165" s="284"/>
      <c r="M165" s="283"/>
      <c r="N165" s="285">
        <f>ROUND($L$165*$K$165,2)</f>
        <v>0</v>
      </c>
      <c r="O165" s="283"/>
      <c r="P165" s="283"/>
      <c r="Q165" s="283"/>
      <c r="R165" s="23"/>
      <c r="T165" s="57"/>
      <c r="AA165" s="58"/>
    </row>
    <row r="166" spans="2:27" s="6" customFormat="1" ht="18.75" customHeight="1">
      <c r="B166" s="22"/>
      <c r="F166" s="234">
        <f>13.93+13.93+6.13</f>
        <v>33.99</v>
      </c>
      <c r="G166" s="235"/>
      <c r="H166" s="235"/>
      <c r="I166" s="235"/>
      <c r="R166" s="23"/>
      <c r="T166" s="57"/>
      <c r="AA166" s="58"/>
    </row>
    <row r="167" spans="2:27" s="6" customFormat="1" ht="18.75" customHeight="1">
      <c r="B167" s="22"/>
      <c r="C167" s="126">
        <v>26</v>
      </c>
      <c r="D167" s="172" t="s">
        <v>182</v>
      </c>
      <c r="E167" s="150" t="s">
        <v>203</v>
      </c>
      <c r="F167" s="244" t="s">
        <v>230</v>
      </c>
      <c r="G167" s="283"/>
      <c r="H167" s="283"/>
      <c r="I167" s="283"/>
      <c r="J167" s="152" t="s">
        <v>204</v>
      </c>
      <c r="K167" s="173">
        <v>7</v>
      </c>
      <c r="L167" s="284"/>
      <c r="M167" s="283"/>
      <c r="N167" s="285">
        <f>ROUND($L$167*$K$167,2)</f>
        <v>0</v>
      </c>
      <c r="O167" s="283"/>
      <c r="P167" s="283"/>
      <c r="Q167" s="283"/>
      <c r="R167" s="23"/>
      <c r="T167" s="57"/>
      <c r="AA167" s="58"/>
    </row>
    <row r="168" spans="2:27" s="6" customFormat="1" ht="18.75" customHeight="1">
      <c r="B168" s="22"/>
      <c r="F168" s="234">
        <v>6.13</v>
      </c>
      <c r="G168" s="235"/>
      <c r="H168" s="235"/>
      <c r="I168" s="235"/>
      <c r="R168" s="23"/>
      <c r="T168" s="57"/>
      <c r="AA168" s="58"/>
    </row>
    <row r="169" spans="2:65" s="6" customFormat="1" ht="27">
      <c r="B169" s="22"/>
      <c r="C169" s="126">
        <v>27</v>
      </c>
      <c r="D169" s="126" t="s">
        <v>118</v>
      </c>
      <c r="E169" s="127" t="s">
        <v>172</v>
      </c>
      <c r="F169" s="244" t="s">
        <v>143</v>
      </c>
      <c r="G169" s="230"/>
      <c r="H169" s="230"/>
      <c r="I169" s="230"/>
      <c r="J169" s="128" t="s">
        <v>139</v>
      </c>
      <c r="K169" s="129">
        <v>1</v>
      </c>
      <c r="L169" s="245"/>
      <c r="M169" s="230"/>
      <c r="N169" s="246">
        <f>ROUND($L$169*$K$169,2)</f>
        <v>0</v>
      </c>
      <c r="O169" s="230"/>
      <c r="P169" s="230"/>
      <c r="Q169" s="230"/>
      <c r="R169" s="23"/>
      <c r="T169" s="130"/>
      <c r="U169" s="29" t="s">
        <v>34</v>
      </c>
      <c r="W169" s="131">
        <f>$V$169*$K$169</f>
        <v>0</v>
      </c>
      <c r="X169" s="131">
        <v>0.0283</v>
      </c>
      <c r="Y169" s="131">
        <f>$X$169*$K$169</f>
        <v>0.0283</v>
      </c>
      <c r="Z169" s="131">
        <v>0</v>
      </c>
      <c r="AA169" s="132">
        <f>$Z$169*$K$169</f>
        <v>0</v>
      </c>
      <c r="AR169" s="6" t="s">
        <v>120</v>
      </c>
      <c r="AT169" s="6" t="s">
        <v>118</v>
      </c>
      <c r="AU169" s="6" t="s">
        <v>84</v>
      </c>
      <c r="AY169" s="6" t="s">
        <v>117</v>
      </c>
      <c r="BE169" s="82">
        <f>IF($U$169="základní",$N$169,0)</f>
        <v>0</v>
      </c>
      <c r="BF169" s="82">
        <f>IF($U$169="snížená",$N$169,0)</f>
        <v>0</v>
      </c>
      <c r="BG169" s="82">
        <f>IF($U$169="zákl. přenesená",$N$169,0)</f>
        <v>0</v>
      </c>
      <c r="BH169" s="82">
        <f>IF($U$169="sníž. přenesená",$N$169,0)</f>
        <v>0</v>
      </c>
      <c r="BI169" s="82">
        <f>IF($U$169="nulová",$N$169,0)</f>
        <v>0</v>
      </c>
      <c r="BJ169" s="6" t="s">
        <v>19</v>
      </c>
      <c r="BK169" s="82">
        <f>ROUND($L$169*$K$169,2)</f>
        <v>0</v>
      </c>
      <c r="BL169" s="6" t="s">
        <v>120</v>
      </c>
      <c r="BM169" s="6" t="s">
        <v>144</v>
      </c>
    </row>
    <row r="170" spans="2:47" s="6" customFormat="1" ht="18.75" customHeight="1">
      <c r="B170" s="22"/>
      <c r="F170" s="275" t="s">
        <v>141</v>
      </c>
      <c r="G170" s="274"/>
      <c r="H170" s="274"/>
      <c r="I170" s="274"/>
      <c r="M170" s="175"/>
      <c r="R170" s="23"/>
      <c r="T170" s="57"/>
      <c r="AA170" s="58"/>
      <c r="AT170" s="6" t="s">
        <v>137</v>
      </c>
      <c r="AU170" s="6" t="s">
        <v>84</v>
      </c>
    </row>
    <row r="171" spans="2:27" s="6" customFormat="1" ht="18.75" customHeight="1">
      <c r="B171" s="22"/>
      <c r="F171" s="154"/>
      <c r="R171" s="23"/>
      <c r="T171" s="57"/>
      <c r="AA171" s="58"/>
    </row>
    <row r="172" spans="2:27" s="6" customFormat="1" ht="18.75" customHeight="1">
      <c r="B172" s="22"/>
      <c r="C172" s="116"/>
      <c r="D172" s="125" t="s">
        <v>161</v>
      </c>
      <c r="E172" s="125"/>
      <c r="F172" s="125"/>
      <c r="G172" s="125"/>
      <c r="H172" s="125"/>
      <c r="I172" s="125"/>
      <c r="J172" s="125"/>
      <c r="K172" s="125"/>
      <c r="L172" s="125"/>
      <c r="M172" s="125"/>
      <c r="N172" s="266">
        <f>N173+N175</f>
        <v>0</v>
      </c>
      <c r="O172" s="267"/>
      <c r="P172" s="267"/>
      <c r="Q172" s="267"/>
      <c r="R172" s="23"/>
      <c r="T172" s="57"/>
      <c r="AA172" s="58"/>
    </row>
    <row r="173" spans="2:27" s="6" customFormat="1" ht="43.5" customHeight="1">
      <c r="B173" s="22"/>
      <c r="C173" s="126">
        <v>28</v>
      </c>
      <c r="D173" s="126" t="s">
        <v>118</v>
      </c>
      <c r="E173" s="150" t="s">
        <v>160</v>
      </c>
      <c r="F173" s="243" t="s">
        <v>208</v>
      </c>
      <c r="G173" s="232"/>
      <c r="H173" s="232"/>
      <c r="I173" s="232"/>
      <c r="J173" s="152" t="s">
        <v>122</v>
      </c>
      <c r="K173" s="129">
        <f>83.4-8.45</f>
        <v>74.95</v>
      </c>
      <c r="L173" s="245"/>
      <c r="M173" s="230"/>
      <c r="N173" s="246">
        <f>ROUND($L$173*$K$173,2)</f>
        <v>0</v>
      </c>
      <c r="O173" s="230"/>
      <c r="P173" s="230"/>
      <c r="Q173" s="230"/>
      <c r="R173" s="23"/>
      <c r="T173" s="57"/>
      <c r="AA173" s="58"/>
    </row>
    <row r="174" spans="2:27" s="6" customFormat="1" ht="18.75" customHeight="1">
      <c r="B174" s="22"/>
      <c r="C174" s="155"/>
      <c r="D174" s="155"/>
      <c r="E174" s="156"/>
      <c r="F174" s="273"/>
      <c r="G174" s="274"/>
      <c r="H174" s="274"/>
      <c r="I174" s="274"/>
      <c r="J174" s="158"/>
      <c r="K174" s="159"/>
      <c r="L174" s="161"/>
      <c r="M174" s="157"/>
      <c r="N174" s="160"/>
      <c r="O174" s="157"/>
      <c r="P174" s="157"/>
      <c r="Q174" s="157"/>
      <c r="R174" s="23"/>
      <c r="T174" s="57"/>
      <c r="AA174" s="58"/>
    </row>
    <row r="175" spans="2:27" s="6" customFormat="1" ht="47.25" customHeight="1">
      <c r="B175" s="22"/>
      <c r="C175" s="126">
        <v>29</v>
      </c>
      <c r="D175" s="126" t="s">
        <v>118</v>
      </c>
      <c r="E175" s="150" t="s">
        <v>160</v>
      </c>
      <c r="F175" s="243" t="s">
        <v>207</v>
      </c>
      <c r="G175" s="232"/>
      <c r="H175" s="232"/>
      <c r="I175" s="232"/>
      <c r="J175" s="152" t="s">
        <v>122</v>
      </c>
      <c r="K175" s="129">
        <v>8.45</v>
      </c>
      <c r="L175" s="245"/>
      <c r="M175" s="230"/>
      <c r="N175" s="246">
        <f>ROUND($L$175*$K$175,2)</f>
        <v>0</v>
      </c>
      <c r="O175" s="230"/>
      <c r="P175" s="230"/>
      <c r="Q175" s="230"/>
      <c r="R175" s="23"/>
      <c r="T175" s="57"/>
      <c r="AA175" s="58"/>
    </row>
    <row r="176" spans="2:27" s="6" customFormat="1" ht="18.75" customHeight="1">
      <c r="B176" s="22"/>
      <c r="F176" s="236"/>
      <c r="G176" s="237"/>
      <c r="H176" s="237"/>
      <c r="I176" s="237"/>
      <c r="R176" s="23"/>
      <c r="T176" s="57"/>
      <c r="AA176" s="58"/>
    </row>
    <row r="177" spans="2:63" s="6" customFormat="1" ht="51" customHeight="1">
      <c r="B177" s="22"/>
      <c r="D177" s="182" t="s">
        <v>231</v>
      </c>
      <c r="E177" s="177"/>
      <c r="N177" s="261">
        <f>N178+N179+N180+N181</f>
        <v>0</v>
      </c>
      <c r="O177" s="196"/>
      <c r="P177" s="196"/>
      <c r="Q177" s="196"/>
      <c r="R177" s="23"/>
      <c r="T177" s="57"/>
      <c r="AA177" s="58"/>
      <c r="AT177" s="6" t="s">
        <v>66</v>
      </c>
      <c r="AU177" s="6" t="s">
        <v>67</v>
      </c>
      <c r="AY177" s="6" t="s">
        <v>145</v>
      </c>
      <c r="BK177" s="82">
        <f>SUM($BK$178:$BK$181)</f>
        <v>0</v>
      </c>
    </row>
    <row r="178" spans="2:63" s="6" customFormat="1" ht="45" customHeight="1">
      <c r="B178" s="22"/>
      <c r="C178" s="151">
        <v>30</v>
      </c>
      <c r="D178" s="151" t="s">
        <v>118</v>
      </c>
      <c r="E178" s="163" t="s">
        <v>160</v>
      </c>
      <c r="F178" s="278" t="s">
        <v>171</v>
      </c>
      <c r="G178" s="279"/>
      <c r="H178" s="279"/>
      <c r="I178" s="279"/>
      <c r="J178" s="181" t="s">
        <v>139</v>
      </c>
      <c r="K178" s="181">
        <v>1</v>
      </c>
      <c r="L178" s="245"/>
      <c r="M178" s="230"/>
      <c r="N178" s="246">
        <f>ROUND($L$178*$K$178,2)</f>
        <v>0</v>
      </c>
      <c r="O178" s="230"/>
      <c r="P178" s="230"/>
      <c r="Q178" s="230"/>
      <c r="R178" s="23"/>
      <c r="T178" s="130"/>
      <c r="U178" s="143" t="s">
        <v>34</v>
      </c>
      <c r="AA178" s="58"/>
      <c r="AT178" s="6" t="s">
        <v>145</v>
      </c>
      <c r="AU178" s="6" t="s">
        <v>19</v>
      </c>
      <c r="AY178" s="6" t="s">
        <v>145</v>
      </c>
      <c r="BE178" s="82">
        <f>IF($U$178="základní",$N$178,0)</f>
        <v>0</v>
      </c>
      <c r="BF178" s="82">
        <f>IF($U$178="snížená",$N$178,0)</f>
        <v>0</v>
      </c>
      <c r="BG178" s="82">
        <f>IF($U$178="zákl. přenesená",$N$178,0)</f>
        <v>0</v>
      </c>
      <c r="BH178" s="82">
        <f>IF($U$178="sníž. přenesená",$N$178,0)</f>
        <v>0</v>
      </c>
      <c r="BI178" s="82">
        <f>IF($U$178="nulová",$N$178,0)</f>
        <v>0</v>
      </c>
      <c r="BJ178" s="6" t="s">
        <v>19</v>
      </c>
      <c r="BK178" s="82">
        <f>$L$178*$K$178</f>
        <v>0</v>
      </c>
    </row>
    <row r="179" spans="2:63" s="6" customFormat="1" ht="45" customHeight="1">
      <c r="B179" s="22"/>
      <c r="C179" s="151">
        <v>31</v>
      </c>
      <c r="D179" s="151" t="s">
        <v>118</v>
      </c>
      <c r="E179" s="180" t="s">
        <v>160</v>
      </c>
      <c r="F179" s="280" t="s">
        <v>229</v>
      </c>
      <c r="G179" s="279"/>
      <c r="H179" s="279"/>
      <c r="I179" s="279"/>
      <c r="J179" s="181" t="s">
        <v>202</v>
      </c>
      <c r="K179" s="181">
        <v>27</v>
      </c>
      <c r="L179" s="245"/>
      <c r="M179" s="230"/>
      <c r="N179" s="246">
        <f>ROUND($L$179*$K$179,2)</f>
        <v>0</v>
      </c>
      <c r="O179" s="230"/>
      <c r="P179" s="230"/>
      <c r="Q179" s="230"/>
      <c r="R179" s="23"/>
      <c r="T179" s="130"/>
      <c r="U179" s="143" t="s">
        <v>34</v>
      </c>
      <c r="AA179" s="58"/>
      <c r="AT179" s="6" t="s">
        <v>145</v>
      </c>
      <c r="AU179" s="6" t="s">
        <v>19</v>
      </c>
      <c r="AY179" s="6" t="s">
        <v>145</v>
      </c>
      <c r="BE179" s="82">
        <f>IF($U$179="základní",$N$179,0)</f>
        <v>0</v>
      </c>
      <c r="BF179" s="82">
        <f>IF($U$179="snížená",$N$179,0)</f>
        <v>0</v>
      </c>
      <c r="BG179" s="82">
        <f>IF($U$179="zákl. přenesená",$N$179,0)</f>
        <v>0</v>
      </c>
      <c r="BH179" s="82">
        <f>IF($U$179="sníž. přenesená",$N$179,0)</f>
        <v>0</v>
      </c>
      <c r="BI179" s="82">
        <f>IF($U$179="nulová",$N$179,0)</f>
        <v>0</v>
      </c>
      <c r="BJ179" s="6" t="s">
        <v>19</v>
      </c>
      <c r="BK179" s="82">
        <f>$L$179*$K$179</f>
        <v>0</v>
      </c>
    </row>
    <row r="180" spans="2:63" s="6" customFormat="1" ht="22.5" customHeight="1">
      <c r="B180" s="22"/>
      <c r="C180" s="139">
        <v>32</v>
      </c>
      <c r="D180" s="139" t="s">
        <v>118</v>
      </c>
      <c r="E180" s="140"/>
      <c r="F180" s="276"/>
      <c r="G180" s="277"/>
      <c r="H180" s="277"/>
      <c r="I180" s="277"/>
      <c r="J180" s="141"/>
      <c r="K180" s="142"/>
      <c r="L180" s="245"/>
      <c r="M180" s="230"/>
      <c r="N180" s="246">
        <f>ROUND($L$180*$K$180,2)</f>
        <v>0</v>
      </c>
      <c r="O180" s="230"/>
      <c r="P180" s="230"/>
      <c r="Q180" s="230"/>
      <c r="R180" s="23"/>
      <c r="T180" s="130"/>
      <c r="U180" s="143" t="s">
        <v>34</v>
      </c>
      <c r="AA180" s="58"/>
      <c r="AT180" s="6" t="s">
        <v>145</v>
      </c>
      <c r="AU180" s="6" t="s">
        <v>19</v>
      </c>
      <c r="AY180" s="6" t="s">
        <v>145</v>
      </c>
      <c r="BE180" s="82">
        <f>IF($U$180="základní",$N$180,0)</f>
        <v>0</v>
      </c>
      <c r="BF180" s="82">
        <f>IF($U$180="snížená",$N$180,0)</f>
        <v>0</v>
      </c>
      <c r="BG180" s="82">
        <f>IF($U$180="zákl. přenesená",$N$180,0)</f>
        <v>0</v>
      </c>
      <c r="BH180" s="82">
        <f>IF($U$180="sníž. přenesená",$N$180,0)</f>
        <v>0</v>
      </c>
      <c r="BI180" s="82">
        <f>IF($U$180="nulová",$N$180,0)</f>
        <v>0</v>
      </c>
      <c r="BJ180" s="6" t="s">
        <v>19</v>
      </c>
      <c r="BK180" s="82">
        <f>$L$180*$K$180</f>
        <v>0</v>
      </c>
    </row>
    <row r="181" spans="2:63" s="6" customFormat="1" ht="23.25" customHeight="1">
      <c r="B181" s="22"/>
      <c r="C181" s="139">
        <v>33</v>
      </c>
      <c r="D181" s="139" t="s">
        <v>118</v>
      </c>
      <c r="E181" s="140"/>
      <c r="F181" s="276"/>
      <c r="G181" s="277"/>
      <c r="H181" s="277"/>
      <c r="I181" s="277"/>
      <c r="J181" s="141"/>
      <c r="K181" s="142"/>
      <c r="L181" s="245"/>
      <c r="M181" s="230"/>
      <c r="N181" s="246">
        <f>ROUND($L$181*$K$181,2)</f>
        <v>0</v>
      </c>
      <c r="O181" s="230"/>
      <c r="P181" s="230"/>
      <c r="Q181" s="230"/>
      <c r="R181" s="23"/>
      <c r="T181" s="130"/>
      <c r="U181" s="143" t="s">
        <v>34</v>
      </c>
      <c r="V181" s="41"/>
      <c r="W181" s="41"/>
      <c r="X181" s="41"/>
      <c r="Y181" s="41"/>
      <c r="Z181" s="41"/>
      <c r="AA181" s="43"/>
      <c r="AT181" s="6" t="s">
        <v>145</v>
      </c>
      <c r="AU181" s="6" t="s">
        <v>19</v>
      </c>
      <c r="AY181" s="6" t="s">
        <v>145</v>
      </c>
      <c r="BE181" s="82">
        <f>IF($U$181="základní",$N$181,0)</f>
        <v>0</v>
      </c>
      <c r="BF181" s="82">
        <f>IF($U$181="snížená",$N$181,0)</f>
        <v>0</v>
      </c>
      <c r="BG181" s="82">
        <f>IF($U$181="zákl. přenesená",$N$181,0)</f>
        <v>0</v>
      </c>
      <c r="BH181" s="82">
        <f>IF($U$181="sníž. přenesená",$N$181,0)</f>
        <v>0</v>
      </c>
      <c r="BI181" s="82">
        <f>IF($U$181="nulová",$N$181,0)</f>
        <v>0</v>
      </c>
      <c r="BJ181" s="6" t="s">
        <v>19</v>
      </c>
      <c r="BK181" s="82">
        <f>$L$181*$K$181</f>
        <v>0</v>
      </c>
    </row>
    <row r="182" spans="2:18" s="6" customFormat="1" ht="7.5" customHeight="1">
      <c r="B182" s="44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6"/>
    </row>
    <row r="183" s="2" customFormat="1" ht="14.25" customHeight="1"/>
  </sheetData>
  <sheetProtection/>
  <mergeCells count="204">
    <mergeCell ref="F168:I168"/>
    <mergeCell ref="F167:I167"/>
    <mergeCell ref="L167:M167"/>
    <mergeCell ref="N167:Q167"/>
    <mergeCell ref="F161:I161"/>
    <mergeCell ref="L161:M161"/>
    <mergeCell ref="N161:Q161"/>
    <mergeCell ref="F162:I162"/>
    <mergeCell ref="M105:P105"/>
    <mergeCell ref="N111:Q111"/>
    <mergeCell ref="F166:I166"/>
    <mergeCell ref="F163:I163"/>
    <mergeCell ref="L163:M163"/>
    <mergeCell ref="N163:Q163"/>
    <mergeCell ref="F164:I164"/>
    <mergeCell ref="F165:I165"/>
    <mergeCell ref="L165:M165"/>
    <mergeCell ref="N165:Q165"/>
    <mergeCell ref="N112:Q112"/>
    <mergeCell ref="F118:I118"/>
    <mergeCell ref="F125:I125"/>
    <mergeCell ref="F124:I124"/>
    <mergeCell ref="F121:I121"/>
    <mergeCell ref="F114:I114"/>
    <mergeCell ref="L114:M114"/>
    <mergeCell ref="N114:Q114"/>
    <mergeCell ref="F123:I123"/>
    <mergeCell ref="N118:Q118"/>
    <mergeCell ref="D86:Q86"/>
    <mergeCell ref="L120:M120"/>
    <mergeCell ref="N120:Q120"/>
    <mergeCell ref="D91:G91"/>
    <mergeCell ref="F102:P102"/>
    <mergeCell ref="N87:Q87"/>
    <mergeCell ref="N89:Q89"/>
    <mergeCell ref="N91:Q91"/>
    <mergeCell ref="F119:I119"/>
    <mergeCell ref="L118:M118"/>
    <mergeCell ref="F120:I120"/>
    <mergeCell ref="D88:Q88"/>
    <mergeCell ref="M107:Q107"/>
    <mergeCell ref="M108:Q108"/>
    <mergeCell ref="L122:M122"/>
    <mergeCell ref="N122:Q122"/>
    <mergeCell ref="F115:I115"/>
    <mergeCell ref="F116:I116"/>
    <mergeCell ref="L116:M116"/>
    <mergeCell ref="N116:Q116"/>
    <mergeCell ref="N177:Q177"/>
    <mergeCell ref="F180:I180"/>
    <mergeCell ref="L180:M180"/>
    <mergeCell ref="N180:Q180"/>
    <mergeCell ref="H1:K1"/>
    <mergeCell ref="S2:AC2"/>
    <mergeCell ref="N113:Q113"/>
    <mergeCell ref="N135:Q135"/>
    <mergeCell ref="F127:I127"/>
    <mergeCell ref="L127:M127"/>
    <mergeCell ref="F181:I181"/>
    <mergeCell ref="L181:M181"/>
    <mergeCell ref="N181:Q181"/>
    <mergeCell ref="F178:I178"/>
    <mergeCell ref="L178:M178"/>
    <mergeCell ref="N178:Q178"/>
    <mergeCell ref="F179:I179"/>
    <mergeCell ref="L179:M179"/>
    <mergeCell ref="N179:Q179"/>
    <mergeCell ref="F170:I170"/>
    <mergeCell ref="F169:I169"/>
    <mergeCell ref="L169:M169"/>
    <mergeCell ref="N169:Q169"/>
    <mergeCell ref="F176:I176"/>
    <mergeCell ref="N172:Q172"/>
    <mergeCell ref="F173:I173"/>
    <mergeCell ref="L173:M173"/>
    <mergeCell ref="N173:Q173"/>
    <mergeCell ref="F175:I175"/>
    <mergeCell ref="F132:I132"/>
    <mergeCell ref="F137:I137"/>
    <mergeCell ref="F154:I154"/>
    <mergeCell ref="F153:I153"/>
    <mergeCell ref="L153:M153"/>
    <mergeCell ref="N153:Q153"/>
    <mergeCell ref="F150:I150"/>
    <mergeCell ref="N150:Q150"/>
    <mergeCell ref="F136:I136"/>
    <mergeCell ref="L138:M138"/>
    <mergeCell ref="L124:M124"/>
    <mergeCell ref="N124:Q124"/>
    <mergeCell ref="F126:I126"/>
    <mergeCell ref="N127:Q127"/>
    <mergeCell ref="F128:I128"/>
    <mergeCell ref="F129:I129"/>
    <mergeCell ref="L129:M129"/>
    <mergeCell ref="N129:Q129"/>
    <mergeCell ref="L126:M126"/>
    <mergeCell ref="N126:Q126"/>
    <mergeCell ref="L175:M175"/>
    <mergeCell ref="N175:Q175"/>
    <mergeCell ref="F151:I151"/>
    <mergeCell ref="N152:Q152"/>
    <mergeCell ref="F110:I110"/>
    <mergeCell ref="L110:M110"/>
    <mergeCell ref="N110:Q110"/>
    <mergeCell ref="N147:Q147"/>
    <mergeCell ref="F122:I122"/>
    <mergeCell ref="F174:I174"/>
    <mergeCell ref="D85:G85"/>
    <mergeCell ref="D84:Q84"/>
    <mergeCell ref="N85:Q85"/>
    <mergeCell ref="D87:G87"/>
    <mergeCell ref="F103:P103"/>
    <mergeCell ref="D89:G89"/>
    <mergeCell ref="L94:Q94"/>
    <mergeCell ref="C100:Q100"/>
    <mergeCell ref="D90:Q90"/>
    <mergeCell ref="D92:Q92"/>
    <mergeCell ref="N77:Q77"/>
    <mergeCell ref="N78:Q78"/>
    <mergeCell ref="N79:Q79"/>
    <mergeCell ref="M70:Q70"/>
    <mergeCell ref="M71:Q71"/>
    <mergeCell ref="D83:G83"/>
    <mergeCell ref="N80:Q80"/>
    <mergeCell ref="N82:Q82"/>
    <mergeCell ref="N83:Q83"/>
    <mergeCell ref="F65:P65"/>
    <mergeCell ref="F66:P66"/>
    <mergeCell ref="M68:P68"/>
    <mergeCell ref="N75:Q75"/>
    <mergeCell ref="N76:Q76"/>
    <mergeCell ref="C73:G73"/>
    <mergeCell ref="O12:P12"/>
    <mergeCell ref="O17:P17"/>
    <mergeCell ref="O18:P18"/>
    <mergeCell ref="E21:L21"/>
    <mergeCell ref="M24:P24"/>
    <mergeCell ref="M25:P25"/>
    <mergeCell ref="O14:P14"/>
    <mergeCell ref="E15:L15"/>
    <mergeCell ref="O15:P15"/>
    <mergeCell ref="C2:Q2"/>
    <mergeCell ref="C4:Q4"/>
    <mergeCell ref="F6:P6"/>
    <mergeCell ref="F7:P7"/>
    <mergeCell ref="O9:P9"/>
    <mergeCell ref="O11:P11"/>
    <mergeCell ref="H33:J33"/>
    <mergeCell ref="M33:P33"/>
    <mergeCell ref="L35:P35"/>
    <mergeCell ref="C63:Q63"/>
    <mergeCell ref="M27:P27"/>
    <mergeCell ref="M30:P30"/>
    <mergeCell ref="M31:P31"/>
    <mergeCell ref="H31:J31"/>
    <mergeCell ref="F133:I133"/>
    <mergeCell ref="L133:M133"/>
    <mergeCell ref="N133:Q133"/>
    <mergeCell ref="L136:M136"/>
    <mergeCell ref="H29:J29"/>
    <mergeCell ref="M29:P29"/>
    <mergeCell ref="H30:J30"/>
    <mergeCell ref="N73:Q73"/>
    <mergeCell ref="H32:J32"/>
    <mergeCell ref="M32:P32"/>
    <mergeCell ref="N142:Q142"/>
    <mergeCell ref="F143:I143"/>
    <mergeCell ref="F142:I142"/>
    <mergeCell ref="L142:M142"/>
    <mergeCell ref="F117:I117"/>
    <mergeCell ref="N140:Q140"/>
    <mergeCell ref="F130:I130"/>
    <mergeCell ref="F131:I131"/>
    <mergeCell ref="L131:M131"/>
    <mergeCell ref="N131:Q131"/>
    <mergeCell ref="N138:Q138"/>
    <mergeCell ref="F139:I139"/>
    <mergeCell ref="F134:I134"/>
    <mergeCell ref="F138:I138"/>
    <mergeCell ref="N136:Q136"/>
    <mergeCell ref="F156:I156"/>
    <mergeCell ref="N144:Q144"/>
    <mergeCell ref="F145:I145"/>
    <mergeCell ref="F140:I140"/>
    <mergeCell ref="L140:M140"/>
    <mergeCell ref="F157:I157"/>
    <mergeCell ref="L157:M157"/>
    <mergeCell ref="N157:Q157"/>
    <mergeCell ref="F144:I144"/>
    <mergeCell ref="L144:M144"/>
    <mergeCell ref="F155:I155"/>
    <mergeCell ref="L155:M155"/>
    <mergeCell ref="N155:Q155"/>
    <mergeCell ref="L150:M150"/>
    <mergeCell ref="F159:I159"/>
    <mergeCell ref="L159:M159"/>
    <mergeCell ref="N159:Q159"/>
    <mergeCell ref="F160:I160"/>
    <mergeCell ref="F158:I158"/>
    <mergeCell ref="F141:I141"/>
    <mergeCell ref="F148:I148"/>
    <mergeCell ref="L148:M148"/>
    <mergeCell ref="N148:Q148"/>
    <mergeCell ref="F149:I149"/>
  </mergeCells>
  <dataValidations count="2">
    <dataValidation type="list" allowBlank="1" showInputMessage="1" showErrorMessage="1" error="Povoleny jsou hodnoty K a M." sqref="D178:D182">
      <formula1>"K,M"</formula1>
    </dataValidation>
    <dataValidation type="list" allowBlank="1" showInputMessage="1" showErrorMessage="1" error="Povoleny jsou hodnoty základní, snížená, zákl. přenesená, sníž. přenesená, nulová." sqref="U178:U182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1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/>
  <headerFooter alignWithMargins="0"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x-</dc:creator>
  <cp:keywords/>
  <dc:description/>
  <cp:lastModifiedBy>dolakol</cp:lastModifiedBy>
  <cp:lastPrinted>2016-05-19T06:17:28Z</cp:lastPrinted>
  <dcterms:created xsi:type="dcterms:W3CDTF">2016-02-09T20:11:05Z</dcterms:created>
  <dcterms:modified xsi:type="dcterms:W3CDTF">2019-06-18T10:34:28Z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